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5480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<sst xmlns="http://schemas.openxmlformats.org/spreadsheetml/2006/main" count="224" uniqueCount="175">
  <si>
    <t xml:space="preserve">Iао = </t>
  </si>
  <si>
    <t>Частота диапазона нижняя, МГц</t>
  </si>
  <si>
    <t>Частота диапазона верхняя, МГц</t>
  </si>
  <si>
    <t>Добротность нагруженная</t>
  </si>
  <si>
    <t xml:space="preserve">Fн = </t>
  </si>
  <si>
    <t xml:space="preserve">Fв = </t>
  </si>
  <si>
    <t xml:space="preserve">Qн = </t>
  </si>
  <si>
    <t>Fн</t>
  </si>
  <si>
    <t>Fв</t>
  </si>
  <si>
    <t>Добротность холостая</t>
  </si>
  <si>
    <t xml:space="preserve">Qхх = </t>
  </si>
  <si>
    <t>L, мкГн</t>
  </si>
  <si>
    <t xml:space="preserve">Таблица 1. Коффициенты разложения </t>
  </si>
  <si>
    <t xml:space="preserve">Eа = </t>
  </si>
  <si>
    <t>Fср</t>
  </si>
  <si>
    <t>B</t>
  </si>
  <si>
    <t>C</t>
  </si>
  <si>
    <t>AB</t>
  </si>
  <si>
    <t>Класс</t>
  </si>
  <si>
    <t>Условие реализуемости</t>
  </si>
  <si>
    <r>
      <t xml:space="preserve">I </t>
    </r>
    <r>
      <rPr>
        <sz val="8"/>
        <rFont val="Arial Cyr"/>
        <family val="0"/>
      </rPr>
      <t>L</t>
    </r>
    <r>
      <rPr>
        <sz val="10"/>
        <rFont val="Arial Cyr"/>
        <family val="0"/>
      </rPr>
      <t>, А</t>
    </r>
  </si>
  <si>
    <t xml:space="preserve">Iан = </t>
  </si>
  <si>
    <t>Напряжение экранное, В</t>
  </si>
  <si>
    <t>Rэ, Ом =</t>
  </si>
  <si>
    <t>Рколеб., Вт =</t>
  </si>
  <si>
    <t>Рвых, Вт =</t>
  </si>
  <si>
    <t>Расчет входного неперестраиваемого П-фильтра передатчика</t>
  </si>
  <si>
    <t>Мощность возбудителя, Вт</t>
  </si>
  <si>
    <t>Добротность индуктивности, холостая</t>
  </si>
  <si>
    <t xml:space="preserve">Rвх = </t>
  </si>
  <si>
    <t xml:space="preserve">Rвых = </t>
  </si>
  <si>
    <t xml:space="preserve">Рвозб = </t>
  </si>
  <si>
    <t>1. Емкость C1 включает в себя емкость входных цепей и емкость монтажа</t>
  </si>
  <si>
    <t>2. Емкость C2 включает в себя входную емкость лампы и емкость монтажа</t>
  </si>
  <si>
    <t>анодного напряжения</t>
  </si>
  <si>
    <t>Qн &gt; Qфильтрации.</t>
  </si>
  <si>
    <t>Qфильтрации. =</t>
  </si>
  <si>
    <t xml:space="preserve">       Расчет составлен И.Тарасенко (UA0LV, ex UA0LDH)</t>
  </si>
  <si>
    <t>импульса анодного тока в зависимости</t>
  </si>
  <si>
    <t>от угла отсечки</t>
  </si>
  <si>
    <r>
      <t>P</t>
    </r>
    <r>
      <rPr>
        <sz val="8"/>
        <rFont val="Arial Cyr"/>
        <family val="0"/>
      </rPr>
      <t xml:space="preserve">C2реакт, ВАр </t>
    </r>
    <r>
      <rPr>
        <sz val="10"/>
        <rFont val="Arial Cyr"/>
        <family val="0"/>
      </rPr>
      <t xml:space="preserve">= </t>
    </r>
  </si>
  <si>
    <r>
      <t>U</t>
    </r>
    <r>
      <rPr>
        <sz val="8"/>
        <rFont val="Arial Cyr"/>
        <family val="0"/>
      </rPr>
      <t xml:space="preserve">C2пик, В </t>
    </r>
    <r>
      <rPr>
        <sz val="10"/>
        <rFont val="Arial Cyr"/>
        <family val="0"/>
      </rPr>
      <t xml:space="preserve">= </t>
    </r>
  </si>
  <si>
    <r>
      <t xml:space="preserve">I </t>
    </r>
    <r>
      <rPr>
        <sz val="8"/>
        <rFont val="Arial Cyr"/>
        <family val="0"/>
      </rPr>
      <t>L, А</t>
    </r>
    <r>
      <rPr>
        <sz val="10"/>
        <rFont val="Arial Cyr"/>
        <family val="0"/>
      </rPr>
      <t xml:space="preserve"> = </t>
    </r>
  </si>
  <si>
    <r>
      <t>P</t>
    </r>
    <r>
      <rPr>
        <sz val="8"/>
        <rFont val="Arial Cyr"/>
        <family val="0"/>
      </rPr>
      <t xml:space="preserve">C1реакт, Вт </t>
    </r>
    <r>
      <rPr>
        <sz val="10"/>
        <rFont val="Arial Cyr"/>
        <family val="0"/>
      </rPr>
      <t xml:space="preserve">=  </t>
    </r>
  </si>
  <si>
    <r>
      <t>U</t>
    </r>
    <r>
      <rPr>
        <sz val="8"/>
        <rFont val="Arial Cyr"/>
        <family val="0"/>
      </rPr>
      <t xml:space="preserve">C1пик, В </t>
    </r>
    <r>
      <rPr>
        <sz val="10"/>
        <rFont val="Arial Cyr"/>
        <family val="0"/>
      </rPr>
      <t xml:space="preserve">=  </t>
    </r>
  </si>
  <si>
    <t>C2, пФ =</t>
  </si>
  <si>
    <t>X1, Ом =</t>
  </si>
  <si>
    <t>C1, пФ =</t>
  </si>
  <si>
    <t>X2, Ом =</t>
  </si>
  <si>
    <t>L, мкГн =</t>
  </si>
  <si>
    <t>XL, Ом =</t>
  </si>
  <si>
    <t>η =</t>
  </si>
  <si>
    <t>Qнагр. =</t>
  </si>
  <si>
    <r>
      <t>П</t>
    </r>
    <r>
      <rPr>
        <sz val="8"/>
        <rFont val="Arial Cyr"/>
        <family val="0"/>
      </rPr>
      <t xml:space="preserve"> 0,7</t>
    </r>
    <r>
      <rPr>
        <sz val="10"/>
        <rFont val="Arial Cyr"/>
        <family val="0"/>
      </rPr>
      <t>, мГц =</t>
    </r>
  </si>
  <si>
    <r>
      <t>П</t>
    </r>
    <r>
      <rPr>
        <sz val="8"/>
        <rFont val="Arial Cyr"/>
        <family val="0"/>
      </rPr>
      <t>0,7</t>
    </r>
    <r>
      <rPr>
        <sz val="10"/>
        <rFont val="Arial Cyr"/>
        <family val="0"/>
      </rPr>
      <t>/ΔFд =</t>
    </r>
  </si>
  <si>
    <r>
      <t>K</t>
    </r>
    <r>
      <rPr>
        <sz val="8"/>
        <rFont val="Arial Cyr"/>
        <family val="0"/>
      </rPr>
      <t>2гарм</t>
    </r>
    <r>
      <rPr>
        <sz val="10"/>
        <rFont val="Arial Cyr"/>
        <family val="0"/>
      </rPr>
      <t>, dB =</t>
    </r>
  </si>
  <si>
    <r>
      <t>K</t>
    </r>
    <r>
      <rPr>
        <sz val="8"/>
        <rFont val="Arial Cyr"/>
        <family val="0"/>
      </rPr>
      <t>3гарм</t>
    </r>
    <r>
      <rPr>
        <sz val="10"/>
        <rFont val="Arial Cyr"/>
        <family val="0"/>
      </rPr>
      <t>, dB =</t>
    </r>
  </si>
  <si>
    <t xml:space="preserve">      Ргран/Рср</t>
  </si>
  <si>
    <t>Qкрит. =</t>
  </si>
  <si>
    <r>
      <t xml:space="preserve">      в зависимости от коэффициента П</t>
    </r>
    <r>
      <rPr>
        <b/>
        <sz val="8"/>
        <rFont val="Arial Cyr"/>
        <family val="0"/>
      </rPr>
      <t>0,7</t>
    </r>
    <r>
      <rPr>
        <b/>
        <sz val="10"/>
        <rFont val="Arial Cyr"/>
        <family val="0"/>
      </rPr>
      <t>/ΔFд</t>
    </r>
  </si>
  <si>
    <t xml:space="preserve">      Уменьшение мощности на границе диапазона </t>
  </si>
  <si>
    <t>Данный расчет делается по методике, предложенной К. Шульгиным (UA3DA),</t>
  </si>
  <si>
    <t>изложенной в журнале Радио, 1985 г, N 5, 7, со следующими допущениями:</t>
  </si>
  <si>
    <t xml:space="preserve">  П-контура для трансформации</t>
  </si>
  <si>
    <t xml:space="preserve">      Условие реализуемости</t>
  </si>
  <si>
    <t xml:space="preserve">           сопротивлений</t>
  </si>
  <si>
    <t xml:space="preserve">       Результаты расчета элементов П-контура в зависимости от сопротивления нагрузки</t>
  </si>
  <si>
    <t>Q, крит.</t>
  </si>
  <si>
    <r>
      <t>U</t>
    </r>
    <r>
      <rPr>
        <sz val="8"/>
        <rFont val="Arial Cyr"/>
        <family val="0"/>
      </rPr>
      <t>c пик, В</t>
    </r>
  </si>
  <si>
    <r>
      <t xml:space="preserve">Х </t>
    </r>
    <r>
      <rPr>
        <sz val="8"/>
        <rFont val="Arial Cyr"/>
        <family val="0"/>
      </rPr>
      <t>L, Ом</t>
    </r>
  </si>
  <si>
    <r>
      <t xml:space="preserve">Х </t>
    </r>
    <r>
      <rPr>
        <sz val="8"/>
        <rFont val="Arial Cyr"/>
        <family val="0"/>
      </rPr>
      <t>с2, Ом</t>
    </r>
  </si>
  <si>
    <r>
      <t xml:space="preserve">Х </t>
    </r>
    <r>
      <rPr>
        <sz val="8"/>
        <rFont val="Arial Cyr"/>
        <family val="0"/>
      </rPr>
      <t>с1, Ом</t>
    </r>
  </si>
  <si>
    <r>
      <t xml:space="preserve">Р, </t>
    </r>
    <r>
      <rPr>
        <sz val="8"/>
        <rFont val="Arial Cyr"/>
        <family val="0"/>
      </rPr>
      <t>ВАр</t>
    </r>
  </si>
  <si>
    <t>С1, пФ</t>
  </si>
  <si>
    <t>С2, пФ</t>
  </si>
  <si>
    <r>
      <t>R</t>
    </r>
    <r>
      <rPr>
        <sz val="8"/>
        <rFont val="Arial Cyr"/>
        <family val="0"/>
      </rPr>
      <t>н, Ом</t>
    </r>
  </si>
  <si>
    <t>Постоянная составляющая тока анода при макс. сигнале, А</t>
  </si>
  <si>
    <t>Начальный ток анода при отсутствии сигнала возбуждения, А</t>
  </si>
  <si>
    <t>Напряжение питания анода, В</t>
  </si>
  <si>
    <t>Тип лампы (1 - триод или пентод; любая другая цифра - тетрод)</t>
  </si>
  <si>
    <t>Остаточное анодное напряжение на пике огибающей сигнала, В</t>
  </si>
  <si>
    <t xml:space="preserve">Eэкр = </t>
  </si>
  <si>
    <t xml:space="preserve">Uа ост = </t>
  </si>
  <si>
    <t xml:space="preserve">1. Остаточное анодное напряжение </t>
  </si>
  <si>
    <t xml:space="preserve">    для тетродов определяется</t>
  </si>
  <si>
    <t xml:space="preserve">    напряжением 2-ой сетки, для</t>
  </si>
  <si>
    <t xml:space="preserve">    триодов и пентодов его необ-</t>
  </si>
  <si>
    <t xml:space="preserve">    лампы</t>
  </si>
  <si>
    <t xml:space="preserve">    ходимо определить по анодной</t>
  </si>
  <si>
    <t xml:space="preserve">    характеристике применяемой</t>
  </si>
  <si>
    <t>2. Примерный расчет сделан для</t>
  </si>
  <si>
    <r>
      <t xml:space="preserve">    классе В с углом отсечки 90</t>
    </r>
    <r>
      <rPr>
        <sz val="10"/>
        <rFont val="Arial"/>
        <family val="2"/>
      </rPr>
      <t>º</t>
    </r>
  </si>
  <si>
    <t>КПД П-контура =</t>
  </si>
  <si>
    <t>3. Если при подстановке данных</t>
  </si>
  <si>
    <t xml:space="preserve">    некоторые значения выводятся</t>
  </si>
  <si>
    <t xml:space="preserve">    с ошибкой, задайте значение</t>
  </si>
  <si>
    <t xml:space="preserve">    нагруженной добротности выше</t>
  </si>
  <si>
    <t xml:space="preserve">    критической добротности.</t>
  </si>
  <si>
    <t>КИАН - коэффициент использования       =</t>
  </si>
  <si>
    <t>Мощность, рассеиваемая на аноде, Вт =</t>
  </si>
  <si>
    <t xml:space="preserve">    усилителя на лампе ГУ-81М в</t>
  </si>
  <si>
    <t xml:space="preserve">        Таблица 2</t>
  </si>
  <si>
    <t>Нагруженная добротность должна быть выше критической добротности при любом</t>
  </si>
  <si>
    <t>требуемом сопротивлении нагрузки.</t>
  </si>
  <si>
    <t>1. Типовая холостая добротность</t>
  </si>
  <si>
    <t>Рис 1</t>
  </si>
  <si>
    <t>только при расчете токов и напря-</t>
  </si>
  <si>
    <t>жений в элементах</t>
  </si>
  <si>
    <t>2. Мощность возбуждения нужна</t>
  </si>
  <si>
    <t>3. На рисунке 1 можно определить</t>
  </si>
  <si>
    <t>величину уменьшения мощности</t>
  </si>
  <si>
    <t>на границе любительского диапа-</t>
  </si>
  <si>
    <r>
      <t>зона. Если коэффициент П</t>
    </r>
    <r>
      <rPr>
        <sz val="8"/>
        <rFont val="Arial Cyr"/>
        <family val="0"/>
      </rPr>
      <t>0,7</t>
    </r>
    <r>
      <rPr>
        <sz val="10"/>
        <rFont val="Arial Cyr"/>
        <family val="0"/>
      </rPr>
      <t>/ΔFд</t>
    </r>
  </si>
  <si>
    <t>больше 6, то ослабление на краю</t>
  </si>
  <si>
    <t>диапазона составит 2,5 процента.</t>
  </si>
  <si>
    <t>4. Варьируя нагруженной доброт-</t>
  </si>
  <si>
    <t>ностью на каждом любительском</t>
  </si>
  <si>
    <t>диапазоне, можно подобрать</t>
  </si>
  <si>
    <t>величины емкостей С1 и С2,</t>
  </si>
  <si>
    <t>больше входных емкостей и</t>
  </si>
  <si>
    <t>емкостей монтажа.</t>
  </si>
  <si>
    <t>Выходное сопротивление П-фильтра, Ом</t>
  </si>
  <si>
    <t>Входное сопротивление П-фильтра, Ом</t>
  </si>
  <si>
    <t>5. Изменяя входное или выходное</t>
  </si>
  <si>
    <t xml:space="preserve">сопротивления с помощью </t>
  </si>
  <si>
    <t>трансформаторов импеданса,</t>
  </si>
  <si>
    <t>преобразовано с помощью трансформатора 1:9 в сопротивление 111 Ом.</t>
  </si>
  <si>
    <t>лежит в диапазоне 250 - 300.</t>
  </si>
  <si>
    <t xml:space="preserve">можно расширить полосы пропускания по диапазонам путем подбора нагруженной </t>
  </si>
  <si>
    <r>
      <t>добротности на каждом диапазоне, для достижения коэффициента П</t>
    </r>
    <r>
      <rPr>
        <sz val="8"/>
        <rFont val="Arial Cyr"/>
        <family val="0"/>
      </rPr>
      <t>0,7</t>
    </r>
    <r>
      <rPr>
        <sz val="10"/>
        <rFont val="Arial Cyr"/>
        <family val="0"/>
      </rPr>
      <t>/ΔFд более 6.</t>
    </r>
  </si>
  <si>
    <t>7. В приведенном примере входное сопротивление лампы 1000 Ом в схеме с ОК</t>
  </si>
  <si>
    <t>П-контура для ослабления</t>
  </si>
  <si>
    <t xml:space="preserve">       1. Расчет элементов П-контура делается по методике, предложенной К. Шульгиным (UA3DA)</t>
  </si>
  <si>
    <t xml:space="preserve">       2. Расчет токов и напряжений, эквивалентного сопротивления выходного каскада передатчика</t>
  </si>
  <si>
    <t xml:space="preserve">           сделан по методике, предложенной А. Кузьменко (RV4LK)</t>
  </si>
  <si>
    <t xml:space="preserve">       4. Емкость C1 включает в себя выходную емкость лампы (ламп) и емкость монтажа</t>
  </si>
  <si>
    <t xml:space="preserve">       5. Габаритная мощность анодного трансформатора - для двухполупериодного выпрямителя</t>
  </si>
  <si>
    <t xml:space="preserve">       3. Расчет напряжений на конденсаторах П-контура сделан при параллельной схеме питания анода</t>
  </si>
  <si>
    <t>Расчет выходного П-контура лампового передатчика</t>
  </si>
  <si>
    <r>
      <t>α</t>
    </r>
    <r>
      <rPr>
        <b/>
        <sz val="8"/>
        <rFont val="Arial"/>
        <family val="2"/>
      </rPr>
      <t xml:space="preserve"> </t>
    </r>
    <r>
      <rPr>
        <b/>
        <sz val="8"/>
        <rFont val="Arial Cyr"/>
        <family val="2"/>
      </rPr>
      <t>0</t>
    </r>
  </si>
  <si>
    <r>
      <t>α</t>
    </r>
    <r>
      <rPr>
        <b/>
        <sz val="10"/>
        <rFont val="Arial Cyr"/>
        <family val="2"/>
      </rPr>
      <t xml:space="preserve"> </t>
    </r>
    <r>
      <rPr>
        <b/>
        <sz val="8"/>
        <rFont val="Arial Cyr"/>
        <family val="2"/>
      </rPr>
      <t>1</t>
    </r>
  </si>
  <si>
    <r>
      <t>α</t>
    </r>
    <r>
      <rPr>
        <b/>
        <sz val="10"/>
        <rFont val="Arial Cyr"/>
        <family val="2"/>
      </rPr>
      <t xml:space="preserve"> </t>
    </r>
    <r>
      <rPr>
        <b/>
        <sz val="8"/>
        <rFont val="Arial Cyr"/>
        <family val="2"/>
      </rPr>
      <t>2</t>
    </r>
  </si>
  <si>
    <r>
      <t xml:space="preserve">Коэффициент </t>
    </r>
    <r>
      <rPr>
        <b/>
        <sz val="12"/>
        <rFont val="Arial"/>
        <family val="2"/>
      </rPr>
      <t>α</t>
    </r>
    <r>
      <rPr>
        <b/>
        <sz val="10"/>
        <rFont val="Arial Cyr"/>
        <family val="0"/>
      </rPr>
      <t xml:space="preserve"> </t>
    </r>
    <r>
      <rPr>
        <b/>
        <sz val="8"/>
        <rFont val="Arial Cyr"/>
        <family val="2"/>
      </rPr>
      <t>0</t>
    </r>
    <r>
      <rPr>
        <sz val="10"/>
        <rFont val="Arial Cyr"/>
        <family val="0"/>
      </rPr>
      <t xml:space="preserve"> (смотри таблицу 1)</t>
    </r>
  </si>
  <si>
    <r>
      <t xml:space="preserve">Коэффициент </t>
    </r>
    <r>
      <rPr>
        <b/>
        <sz val="12"/>
        <rFont val="Arial"/>
        <family val="2"/>
      </rPr>
      <t>α</t>
    </r>
    <r>
      <rPr>
        <b/>
        <sz val="10"/>
        <rFont val="Arial Cyr"/>
        <family val="0"/>
      </rPr>
      <t xml:space="preserve"> </t>
    </r>
    <r>
      <rPr>
        <b/>
        <sz val="8"/>
        <rFont val="Arial Cyr"/>
        <family val="2"/>
      </rPr>
      <t>1</t>
    </r>
    <r>
      <rPr>
        <sz val="10"/>
        <rFont val="Arial Cyr"/>
        <family val="0"/>
      </rPr>
      <t xml:space="preserve"> (смотри таблицу 1)</t>
    </r>
  </si>
  <si>
    <r>
      <t xml:space="preserve">Коэффициент </t>
    </r>
    <r>
      <rPr>
        <b/>
        <sz val="12"/>
        <rFont val="Arial"/>
        <family val="2"/>
      </rPr>
      <t>α</t>
    </r>
    <r>
      <rPr>
        <b/>
        <sz val="10"/>
        <rFont val="Arial Cyr"/>
        <family val="0"/>
      </rPr>
      <t xml:space="preserve"> </t>
    </r>
    <r>
      <rPr>
        <b/>
        <sz val="8"/>
        <rFont val="Arial Cyr"/>
        <family val="2"/>
      </rPr>
      <t>2</t>
    </r>
    <r>
      <rPr>
        <sz val="10"/>
        <rFont val="Arial Cyr"/>
        <family val="0"/>
      </rPr>
      <t xml:space="preserve"> (смотри таблицу 1) </t>
    </r>
  </si>
  <si>
    <r>
      <t xml:space="preserve">Угол </t>
    </r>
    <r>
      <rPr>
        <b/>
        <sz val="14"/>
        <rFont val="Arial"/>
        <family val="2"/>
      </rPr>
      <t>θ</t>
    </r>
  </si>
  <si>
    <t>П-контура для обеспечения настройки в широком диапазоне нагрузки.</t>
  </si>
  <si>
    <t>Номинальное сопротивление нагрузки - 50 Ом, диапазон сопротивлений нагрузки</t>
  </si>
  <si>
    <t>в расчете - от 3-кратной до 1/3 от номинальной.</t>
  </si>
  <si>
    <t>3. Коэффициент трансформации Rвых/Rвх должно быть более 1,2 или менее 0,8</t>
  </si>
  <si>
    <r>
      <t>9    П</t>
    </r>
    <r>
      <rPr>
        <b/>
        <sz val="8"/>
        <rFont val="Arial Cyr"/>
        <family val="0"/>
      </rPr>
      <t>0,7</t>
    </r>
    <r>
      <rPr>
        <b/>
        <sz val="10"/>
        <rFont val="Arial Cyr"/>
        <family val="0"/>
      </rPr>
      <t>/ΔFд</t>
    </r>
  </si>
  <si>
    <t xml:space="preserve">        Таблица 3</t>
  </si>
  <si>
    <t>Таблица 3 позволяет оценить необходимый диапазон перестройки элементов С1 и С2</t>
  </si>
  <si>
    <t xml:space="preserve">       при фиксированной индуктивности, вычисленной для средней частоты диапазона</t>
  </si>
  <si>
    <t xml:space="preserve">                                                             и нагрузки 50 Ом</t>
  </si>
  <si>
    <t>2-ой гармоники не менее 40dB</t>
  </si>
  <si>
    <t>КПД использования подводимой к аноду мощности, %  =</t>
  </si>
  <si>
    <t>Ра - мощность, подводимая к аноду, Вт =</t>
  </si>
  <si>
    <t>Мощность анодного трансформатора, габаритная, ВА =</t>
  </si>
  <si>
    <t>Таблица 2 позволяет оценить необходимый диапазон перестройки элементов C1, C2 и L</t>
  </si>
  <si>
    <t>нагруженной добротности повлияет на вычисленную критическую добротность, и возможно</t>
  </si>
  <si>
    <t>потребуется дополнительное уточнение.</t>
  </si>
  <si>
    <r>
      <t xml:space="preserve">Обратите внимание, что критическая добротность для </t>
    </r>
    <r>
      <rPr>
        <b/>
        <sz val="10"/>
        <rFont val="Arial Cyr"/>
        <family val="0"/>
      </rPr>
      <t>таблицы 3</t>
    </r>
    <r>
      <rPr>
        <sz val="10"/>
        <rFont val="Arial Cyr"/>
        <family val="0"/>
      </rPr>
      <t xml:space="preserve"> отличается от критической</t>
    </r>
  </si>
  <si>
    <r>
      <t>добротности для случая перестройки П-контура тремя элементами (</t>
    </r>
    <r>
      <rPr>
        <b/>
        <sz val="10"/>
        <rFont val="Arial Cyr"/>
        <family val="0"/>
      </rPr>
      <t>таблица 2</t>
    </r>
    <r>
      <rPr>
        <sz val="10"/>
        <rFont val="Arial Cyr"/>
        <family val="0"/>
      </rPr>
      <t>).</t>
    </r>
  </si>
  <si>
    <t xml:space="preserve">    Qн &gt; Qкрит. (см табл. 2, 3)</t>
  </si>
  <si>
    <t xml:space="preserve">       6. Разделитель десятичных дробей - запятая. </t>
  </si>
  <si>
    <t xml:space="preserve">       7. Встроенной защиты от ошибок ввода данных не имеется, просьба следить самим.</t>
  </si>
  <si>
    <r>
      <t xml:space="preserve">путем выбора другого угла отсечки (соответственно других коэффициентов </t>
    </r>
    <r>
      <rPr>
        <sz val="14"/>
        <rFont val="Arial"/>
        <family val="2"/>
      </rPr>
      <t>α</t>
    </r>
    <r>
      <rPr>
        <sz val="8"/>
        <rFont val="Arial Cyr"/>
        <family val="0"/>
      </rPr>
      <t>n</t>
    </r>
    <r>
      <rPr>
        <sz val="10"/>
        <rFont val="Arial Cyr"/>
        <family val="0"/>
      </rPr>
      <t>)</t>
    </r>
  </si>
  <si>
    <t>Критическая добротность обеспечения фильтрации зависит от угла отсечки, изменить можно</t>
  </si>
  <si>
    <t xml:space="preserve">                                          при настройке тремя элементами</t>
  </si>
  <si>
    <r>
      <t xml:space="preserve">Требуется установить </t>
    </r>
    <r>
      <rPr>
        <b/>
        <sz val="10"/>
        <rFont val="Arial Cyr"/>
        <family val="0"/>
      </rPr>
      <t>Qн</t>
    </r>
    <r>
      <rPr>
        <sz val="10"/>
        <rFont val="Arial Cyr"/>
        <family val="0"/>
      </rPr>
      <t xml:space="preserve"> больше наибольшей из них, имея при этом в виду, что изменение</t>
    </r>
  </si>
  <si>
    <t>а напряжение в корень квадратный из n. Иметь в виду при расчете напряжения возбуждения.</t>
  </si>
  <si>
    <t>П-контура для обеспечения настройки в широком диапазоне нагрузки при</t>
  </si>
  <si>
    <t>фиксированной индуктивности L.</t>
  </si>
  <si>
    <t>8. Ферритовые трансформаторы импедансов (1:n) изменяют сопротивление в n-раз,</t>
  </si>
</sst>
</file>

<file path=xl/styles.xml><?xml version="1.0" encoding="utf-8"?>
<styleSheet xmlns="http://schemas.openxmlformats.org/spreadsheetml/2006/main">
  <numFmts count="19">
    <numFmt numFmtId="5" formatCode="#,##0&quot; рубб&quot;;\-#,##0&quot; рубб&quot;"/>
    <numFmt numFmtId="6" formatCode="#,##0&quot; рубб&quot;;[Red]\-#,##0&quot; рубб&quot;"/>
    <numFmt numFmtId="7" formatCode="#,##0.00&quot; рубб&quot;;\-#,##0.00&quot; рубб&quot;"/>
    <numFmt numFmtId="8" formatCode="#,##0.00&quot; рубб&quot;;[Red]\-#,##0.00&quot; рубб&quot;"/>
    <numFmt numFmtId="42" formatCode="_-* #,##0&quot; рубб&quot;_-;\-* #,##0&quot; рубб&quot;_-;_-* &quot;-&quot;&quot; рубб&quot;_-;_-@_-"/>
    <numFmt numFmtId="41" formatCode="_-* #,##0_ _р_у_б_._-;\-* #,##0_ _р_у_б_._-;_-* &quot;-&quot;_ _р_у_б_._-;_-@_-"/>
    <numFmt numFmtId="44" formatCode="_-* #,##0.00&quot; рубб&quot;_-;\-* #,##0.00&quot; рубб&quot;_-;_-* &quot;-&quot;??&quot; рубб&quot;_-;_-@_-"/>
    <numFmt numFmtId="43" formatCode="_-* #,##0.00_ _р_у_б_._-;\-* #,##0.00_ _р_у_б_._-;_-* &quot;-&quot;??_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 Cyr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2" borderId="1" xfId="0" applyFill="1" applyBorder="1" applyAlignment="1" applyProtection="1">
      <alignment horizontal="center"/>
      <protection hidden="1" locked="0"/>
    </xf>
    <xf numFmtId="173" fontId="0" fillId="2" borderId="1" xfId="0" applyNumberForma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3" fontId="0" fillId="0" borderId="0" xfId="0" applyNumberForma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/>
      <protection hidden="1"/>
    </xf>
    <xf numFmtId="0" fontId="3" fillId="3" borderId="1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173" fontId="0" fillId="3" borderId="1" xfId="0" applyNumberFormat="1" applyFill="1" applyBorder="1" applyAlignment="1" applyProtection="1">
      <alignment horizontal="center"/>
      <protection hidden="1"/>
    </xf>
    <xf numFmtId="173" fontId="0" fillId="3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1" fontId="0" fillId="4" borderId="1" xfId="0" applyNumberFormat="1" applyFill="1" applyBorder="1" applyAlignment="1" applyProtection="1">
      <alignment horizontal="center"/>
      <protection hidden="1"/>
    </xf>
    <xf numFmtId="172" fontId="0" fillId="4" borderId="1" xfId="0" applyNumberFormat="1" applyFill="1" applyBorder="1" applyAlignment="1" applyProtection="1">
      <alignment horizontal="center"/>
      <protection hidden="1"/>
    </xf>
    <xf numFmtId="173" fontId="0" fillId="4" borderId="1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1" xfId="0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Alignment="1" applyProtection="1">
      <alignment horizontal="center"/>
      <protection hidden="1"/>
    </xf>
    <xf numFmtId="0" fontId="0" fillId="3" borderId="3" xfId="0" applyFont="1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174" fontId="0" fillId="0" borderId="0" xfId="0" applyNumberFormat="1" applyFill="1" applyBorder="1" applyAlignment="1" applyProtection="1">
      <alignment horizontal="center"/>
      <protection hidden="1"/>
    </xf>
    <xf numFmtId="2" fontId="0" fillId="4" borderId="1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3" borderId="3" xfId="0" applyFill="1" applyBorder="1" applyAlignment="1" applyProtection="1">
      <alignment horizontal="right"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 horizontal="right"/>
      <protection hidden="1"/>
    </xf>
    <xf numFmtId="0" fontId="0" fillId="3" borderId="6" xfId="0" applyFont="1" applyFill="1" applyBorder="1" applyAlignment="1" applyProtection="1">
      <alignment horizontal="right"/>
      <protection hidden="1"/>
    </xf>
    <xf numFmtId="0" fontId="0" fillId="3" borderId="8" xfId="0" applyFill="1" applyBorder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left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172" fontId="3" fillId="4" borderId="1" xfId="0" applyNumberFormat="1" applyFont="1" applyFill="1" applyBorder="1" applyAlignment="1" applyProtection="1">
      <alignment horizontal="center"/>
      <protection hidden="1"/>
    </xf>
    <xf numFmtId="1" fontId="3" fillId="4" borderId="1" xfId="0" applyNumberFormat="1" applyFont="1" applyFill="1" applyBorder="1" applyAlignment="1" applyProtection="1">
      <alignment horizontal="center"/>
      <protection hidden="1"/>
    </xf>
    <xf numFmtId="2" fontId="3" fillId="4" borderId="1" xfId="0" applyNumberFormat="1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173" fontId="3" fillId="3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72" fontId="0" fillId="4" borderId="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0" borderId="5" xfId="0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7" xfId="0" applyFont="1" applyFill="1" applyBorder="1" applyAlignment="1" applyProtection="1">
      <alignment horizontal="left"/>
      <protection hidden="1"/>
    </xf>
    <xf numFmtId="0" fontId="3" fillId="3" borderId="9" xfId="0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 hidden="1"/>
    </xf>
    <xf numFmtId="172" fontId="0" fillId="2" borderId="1" xfId="0" applyNumberFormat="1" applyFill="1" applyBorder="1" applyAlignment="1" applyProtection="1">
      <alignment horizontal="center"/>
      <protection hidden="1" locked="0"/>
    </xf>
    <xf numFmtId="172" fontId="8" fillId="4" borderId="1" xfId="0" applyNumberFormat="1" applyFont="1" applyFill="1" applyBorder="1" applyAlignment="1" applyProtection="1">
      <alignment horizontal="center"/>
      <protection hidden="1"/>
    </xf>
    <xf numFmtId="2" fontId="8" fillId="4" borderId="1" xfId="0" applyNumberFormat="1" applyFont="1" applyFill="1" applyBorder="1" applyAlignment="1" applyProtection="1">
      <alignment horizontal="center"/>
      <protection hidden="1"/>
    </xf>
    <xf numFmtId="0" fontId="9" fillId="3" borderId="14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72" fontId="0" fillId="5" borderId="1" xfId="0" applyNumberFormat="1" applyFill="1" applyBorder="1" applyAlignment="1" applyProtection="1">
      <alignment horizontal="center"/>
      <protection hidden="1"/>
    </xf>
    <xf numFmtId="1" fontId="0" fillId="5" borderId="1" xfId="0" applyNumberFormat="1" applyFill="1" applyBorder="1" applyAlignment="1" applyProtection="1">
      <alignment horizontal="center"/>
      <protection hidden="1"/>
    </xf>
    <xf numFmtId="2" fontId="0" fillId="5" borderId="1" xfId="0" applyNumberFormat="1" applyFill="1" applyBorder="1" applyAlignment="1" applyProtection="1">
      <alignment horizontal="center"/>
      <protection hidden="1"/>
    </xf>
    <xf numFmtId="172" fontId="3" fillId="5" borderId="1" xfId="0" applyNumberFormat="1" applyFont="1" applyFill="1" applyBorder="1" applyAlignment="1" applyProtection="1">
      <alignment horizontal="center"/>
      <protection hidden="1"/>
    </xf>
    <xf numFmtId="1" fontId="3" fillId="5" borderId="1" xfId="0" applyNumberFormat="1" applyFont="1" applyFill="1" applyBorder="1" applyAlignment="1" applyProtection="1">
      <alignment horizontal="center"/>
      <protection hidden="1"/>
    </xf>
    <xf numFmtId="2" fontId="3" fillId="5" borderId="1" xfId="0" applyNumberFormat="1" applyFont="1" applyFill="1" applyBorder="1" applyAlignment="1" applyProtection="1">
      <alignment horizontal="center"/>
      <protection hidden="1"/>
    </xf>
    <xf numFmtId="172" fontId="8" fillId="5" borderId="1" xfId="0" applyNumberFormat="1" applyFont="1" applyFill="1" applyBorder="1" applyAlignment="1" applyProtection="1">
      <alignment horizontal="center"/>
      <protection hidden="1"/>
    </xf>
    <xf numFmtId="0" fontId="0" fillId="3" borderId="10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2" fontId="0" fillId="5" borderId="11" xfId="0" applyNumberFormat="1" applyFill="1" applyBorder="1" applyAlignment="1" applyProtection="1">
      <alignment horizontal="center"/>
      <protection hidden="1"/>
    </xf>
    <xf numFmtId="2" fontId="3" fillId="5" borderId="11" xfId="0" applyNumberFormat="1" applyFont="1" applyFill="1" applyBorder="1" applyAlignment="1" applyProtection="1">
      <alignment horizontal="center"/>
      <protection hidden="1"/>
    </xf>
    <xf numFmtId="2" fontId="0" fillId="5" borderId="0" xfId="0" applyNumberFormat="1" applyFill="1" applyBorder="1" applyAlignment="1" applyProtection="1">
      <alignment horizontal="center"/>
      <protection hidden="1"/>
    </xf>
    <xf numFmtId="2" fontId="3" fillId="5" borderId="0" xfId="0" applyNumberFormat="1" applyFont="1" applyFill="1" applyBorder="1" applyAlignment="1" applyProtection="1">
      <alignment horizontal="center"/>
      <protection hidden="1"/>
    </xf>
    <xf numFmtId="2" fontId="0" fillId="5" borderId="2" xfId="0" applyNumberFormat="1" applyFill="1" applyBorder="1" applyAlignment="1" applyProtection="1">
      <alignment horizontal="center"/>
      <protection hidden="1"/>
    </xf>
    <xf numFmtId="2" fontId="0" fillId="5" borderId="4" xfId="0" applyNumberFormat="1" applyFill="1" applyBorder="1" applyAlignment="1" applyProtection="1">
      <alignment horizontal="center"/>
      <protection hidden="1"/>
    </xf>
    <xf numFmtId="2" fontId="0" fillId="5" borderId="3" xfId="0" applyNumberFormat="1" applyFill="1" applyBorder="1" applyAlignment="1" applyProtection="1">
      <alignment horizontal="center"/>
      <protection hidden="1"/>
    </xf>
    <xf numFmtId="2" fontId="0" fillId="5" borderId="5" xfId="0" applyNumberFormat="1" applyFill="1" applyBorder="1" applyAlignment="1" applyProtection="1">
      <alignment horizontal="center"/>
      <protection hidden="1"/>
    </xf>
    <xf numFmtId="2" fontId="0" fillId="5" borderId="6" xfId="0" applyNumberFormat="1" applyFill="1" applyBorder="1" applyAlignment="1" applyProtection="1">
      <alignment horizontal="center"/>
      <protection hidden="1"/>
    </xf>
    <xf numFmtId="2" fontId="3" fillId="5" borderId="5" xfId="0" applyNumberFormat="1" applyFont="1" applyFill="1" applyBorder="1" applyAlignment="1" applyProtection="1">
      <alignment horizontal="center"/>
      <protection hidden="1"/>
    </xf>
    <xf numFmtId="2" fontId="3" fillId="5" borderId="6" xfId="0" applyNumberFormat="1" applyFont="1" applyFill="1" applyBorder="1" applyAlignment="1" applyProtection="1">
      <alignment horizontal="center"/>
      <protection hidden="1"/>
    </xf>
    <xf numFmtId="2" fontId="0" fillId="5" borderId="7" xfId="0" applyNumberFormat="1" applyFill="1" applyBorder="1" applyAlignment="1" applyProtection="1">
      <alignment horizontal="center"/>
      <protection hidden="1"/>
    </xf>
    <xf numFmtId="2" fontId="0" fillId="5" borderId="13" xfId="0" applyNumberFormat="1" applyFill="1" applyBorder="1" applyAlignment="1" applyProtection="1">
      <alignment horizontal="center"/>
      <protection hidden="1"/>
    </xf>
    <xf numFmtId="2" fontId="0" fillId="5" borderId="8" xfId="0" applyNumberForma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182</xdr:row>
      <xdr:rowOff>0</xdr:rowOff>
    </xdr:from>
    <xdr:to>
      <xdr:col>3</xdr:col>
      <xdr:colOff>0</xdr:colOff>
      <xdr:row>182</xdr:row>
      <xdr:rowOff>0</xdr:rowOff>
    </xdr:to>
    <xdr:sp>
      <xdr:nvSpPr>
        <xdr:cNvPr id="1" name="Line 13"/>
        <xdr:cNvSpPr>
          <a:spLocks/>
        </xdr:cNvSpPr>
      </xdr:nvSpPr>
      <xdr:spPr>
        <a:xfrm>
          <a:off x="1724025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182</xdr:row>
      <xdr:rowOff>0</xdr:rowOff>
    </xdr:from>
    <xdr:to>
      <xdr:col>4</xdr:col>
      <xdr:colOff>0</xdr:colOff>
      <xdr:row>182</xdr:row>
      <xdr:rowOff>0</xdr:rowOff>
    </xdr:to>
    <xdr:sp>
      <xdr:nvSpPr>
        <xdr:cNvPr id="2" name="Line 14"/>
        <xdr:cNvSpPr>
          <a:spLocks/>
        </xdr:cNvSpPr>
      </xdr:nvSpPr>
      <xdr:spPr>
        <a:xfrm>
          <a:off x="2276475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182</xdr:row>
      <xdr:rowOff>0</xdr:rowOff>
    </xdr:from>
    <xdr:to>
      <xdr:col>5</xdr:col>
      <xdr:colOff>0</xdr:colOff>
      <xdr:row>182</xdr:row>
      <xdr:rowOff>0</xdr:rowOff>
    </xdr:to>
    <xdr:sp>
      <xdr:nvSpPr>
        <xdr:cNvPr id="3" name="Line 16"/>
        <xdr:cNvSpPr>
          <a:spLocks/>
        </xdr:cNvSpPr>
      </xdr:nvSpPr>
      <xdr:spPr>
        <a:xfrm>
          <a:off x="2828925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182</xdr:row>
      <xdr:rowOff>0</xdr:rowOff>
    </xdr:to>
    <xdr:sp>
      <xdr:nvSpPr>
        <xdr:cNvPr id="4" name="Line 17"/>
        <xdr:cNvSpPr>
          <a:spLocks/>
        </xdr:cNvSpPr>
      </xdr:nvSpPr>
      <xdr:spPr>
        <a:xfrm>
          <a:off x="339090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219</xdr:row>
      <xdr:rowOff>0</xdr:rowOff>
    </xdr:from>
    <xdr:to>
      <xdr:col>6</xdr:col>
      <xdr:colOff>9525</xdr:colOff>
      <xdr:row>234</xdr:row>
      <xdr:rowOff>9525</xdr:rowOff>
    </xdr:to>
    <xdr:sp>
      <xdr:nvSpPr>
        <xdr:cNvPr id="5" name="Rectangle 93"/>
        <xdr:cNvSpPr>
          <a:spLocks/>
        </xdr:cNvSpPr>
      </xdr:nvSpPr>
      <xdr:spPr>
        <a:xfrm>
          <a:off x="581025" y="35537775"/>
          <a:ext cx="2819400" cy="2438400"/>
        </a:xfrm>
        <a:prstGeom prst="rect">
          <a:avLst/>
        </a:prstGeom>
        <a:solidFill>
          <a:srgbClr val="E0DFB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219</xdr:row>
      <xdr:rowOff>0</xdr:rowOff>
    </xdr:from>
    <xdr:to>
      <xdr:col>2</xdr:col>
      <xdr:colOff>0</xdr:colOff>
      <xdr:row>234</xdr:row>
      <xdr:rowOff>0</xdr:rowOff>
    </xdr:to>
    <xdr:sp>
      <xdr:nvSpPr>
        <xdr:cNvPr id="6" name="Line 94"/>
        <xdr:cNvSpPr>
          <a:spLocks/>
        </xdr:cNvSpPr>
      </xdr:nvSpPr>
      <xdr:spPr>
        <a:xfrm>
          <a:off x="1143000" y="355377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219</xdr:row>
      <xdr:rowOff>0</xdr:rowOff>
    </xdr:from>
    <xdr:to>
      <xdr:col>3</xdr:col>
      <xdr:colOff>0</xdr:colOff>
      <xdr:row>234</xdr:row>
      <xdr:rowOff>9525</xdr:rowOff>
    </xdr:to>
    <xdr:sp>
      <xdr:nvSpPr>
        <xdr:cNvPr id="7" name="Line 95"/>
        <xdr:cNvSpPr>
          <a:spLocks/>
        </xdr:cNvSpPr>
      </xdr:nvSpPr>
      <xdr:spPr>
        <a:xfrm>
          <a:off x="1724025" y="35537775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0</xdr:rowOff>
    </xdr:from>
    <xdr:to>
      <xdr:col>4</xdr:col>
      <xdr:colOff>0</xdr:colOff>
      <xdr:row>234</xdr:row>
      <xdr:rowOff>9525</xdr:rowOff>
    </xdr:to>
    <xdr:sp>
      <xdr:nvSpPr>
        <xdr:cNvPr id="8" name="Line 96"/>
        <xdr:cNvSpPr>
          <a:spLocks/>
        </xdr:cNvSpPr>
      </xdr:nvSpPr>
      <xdr:spPr>
        <a:xfrm>
          <a:off x="2276475" y="35537775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219</xdr:row>
      <xdr:rowOff>0</xdr:rowOff>
    </xdr:from>
    <xdr:to>
      <xdr:col>5</xdr:col>
      <xdr:colOff>0</xdr:colOff>
      <xdr:row>234</xdr:row>
      <xdr:rowOff>9525</xdr:rowOff>
    </xdr:to>
    <xdr:sp>
      <xdr:nvSpPr>
        <xdr:cNvPr id="9" name="Line 97"/>
        <xdr:cNvSpPr>
          <a:spLocks/>
        </xdr:cNvSpPr>
      </xdr:nvSpPr>
      <xdr:spPr>
        <a:xfrm>
          <a:off x="2828925" y="35537775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352425</xdr:colOff>
      <xdr:row>222</xdr:row>
      <xdr:rowOff>0</xdr:rowOff>
    </xdr:from>
    <xdr:to>
      <xdr:col>6</xdr:col>
      <xdr:colOff>28575</xdr:colOff>
      <xdr:row>222</xdr:row>
      <xdr:rowOff>0</xdr:rowOff>
    </xdr:to>
    <xdr:sp>
      <xdr:nvSpPr>
        <xdr:cNvPr id="10" name="Line 98"/>
        <xdr:cNvSpPr>
          <a:spLocks/>
        </xdr:cNvSpPr>
      </xdr:nvSpPr>
      <xdr:spPr>
        <a:xfrm>
          <a:off x="352425" y="36023550"/>
          <a:ext cx="3067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333375</xdr:colOff>
      <xdr:row>225</xdr:row>
      <xdr:rowOff>0</xdr:rowOff>
    </xdr:from>
    <xdr:to>
      <xdr:col>6</xdr:col>
      <xdr:colOff>9525</xdr:colOff>
      <xdr:row>225</xdr:row>
      <xdr:rowOff>0</xdr:rowOff>
    </xdr:to>
    <xdr:sp>
      <xdr:nvSpPr>
        <xdr:cNvPr id="11" name="Line 99"/>
        <xdr:cNvSpPr>
          <a:spLocks/>
        </xdr:cNvSpPr>
      </xdr:nvSpPr>
      <xdr:spPr>
        <a:xfrm>
          <a:off x="333375" y="3650932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</xdr:colOff>
      <xdr:row>227</xdr:row>
      <xdr:rowOff>152400</xdr:rowOff>
    </xdr:from>
    <xdr:to>
      <xdr:col>6</xdr:col>
      <xdr:colOff>9525</xdr:colOff>
      <xdr:row>227</xdr:row>
      <xdr:rowOff>152400</xdr:rowOff>
    </xdr:to>
    <xdr:sp>
      <xdr:nvSpPr>
        <xdr:cNvPr id="12" name="Line 100"/>
        <xdr:cNvSpPr>
          <a:spLocks/>
        </xdr:cNvSpPr>
      </xdr:nvSpPr>
      <xdr:spPr>
        <a:xfrm flipV="1">
          <a:off x="304800" y="3698557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</xdr:colOff>
      <xdr:row>231</xdr:row>
      <xdr:rowOff>0</xdr:rowOff>
    </xdr:from>
    <xdr:to>
      <xdr:col>6</xdr:col>
      <xdr:colOff>9525</xdr:colOff>
      <xdr:row>231</xdr:row>
      <xdr:rowOff>0</xdr:rowOff>
    </xdr:to>
    <xdr:sp>
      <xdr:nvSpPr>
        <xdr:cNvPr id="13" name="Line 101"/>
        <xdr:cNvSpPr>
          <a:spLocks/>
        </xdr:cNvSpPr>
      </xdr:nvSpPr>
      <xdr:spPr>
        <a:xfrm>
          <a:off x="304800" y="3748087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219</xdr:row>
      <xdr:rowOff>19050</xdr:rowOff>
    </xdr:from>
    <xdr:to>
      <xdr:col>6</xdr:col>
      <xdr:colOff>0</xdr:colOff>
      <xdr:row>219</xdr:row>
      <xdr:rowOff>76200</xdr:rowOff>
    </xdr:to>
    <xdr:sp>
      <xdr:nvSpPr>
        <xdr:cNvPr id="14" name="Line 102"/>
        <xdr:cNvSpPr>
          <a:spLocks/>
        </xdr:cNvSpPr>
      </xdr:nvSpPr>
      <xdr:spPr>
        <a:xfrm flipV="1">
          <a:off x="2286000" y="35556825"/>
          <a:ext cx="1104900" cy="57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220</xdr:row>
      <xdr:rowOff>85725</xdr:rowOff>
    </xdr:from>
    <xdr:to>
      <xdr:col>2</xdr:col>
      <xdr:colOff>333375</xdr:colOff>
      <xdr:row>221</xdr:row>
      <xdr:rowOff>142875</xdr:rowOff>
    </xdr:to>
    <xdr:sp>
      <xdr:nvSpPr>
        <xdr:cNvPr id="15" name="Line 103"/>
        <xdr:cNvSpPr>
          <a:spLocks/>
        </xdr:cNvSpPr>
      </xdr:nvSpPr>
      <xdr:spPr>
        <a:xfrm flipV="1">
          <a:off x="1143000" y="35785425"/>
          <a:ext cx="333375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342900</xdr:colOff>
      <xdr:row>220</xdr:row>
      <xdr:rowOff>0</xdr:rowOff>
    </xdr:from>
    <xdr:to>
      <xdr:col>2</xdr:col>
      <xdr:colOff>561975</xdr:colOff>
      <xdr:row>220</xdr:row>
      <xdr:rowOff>85725</xdr:rowOff>
    </xdr:to>
    <xdr:sp>
      <xdr:nvSpPr>
        <xdr:cNvPr id="16" name="Line 104"/>
        <xdr:cNvSpPr>
          <a:spLocks/>
        </xdr:cNvSpPr>
      </xdr:nvSpPr>
      <xdr:spPr>
        <a:xfrm flipV="1">
          <a:off x="1485900" y="35699700"/>
          <a:ext cx="219075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219</xdr:row>
      <xdr:rowOff>76200</xdr:rowOff>
    </xdr:from>
    <xdr:to>
      <xdr:col>4</xdr:col>
      <xdr:colOff>19050</xdr:colOff>
      <xdr:row>220</xdr:row>
      <xdr:rowOff>0</xdr:rowOff>
    </xdr:to>
    <xdr:sp>
      <xdr:nvSpPr>
        <xdr:cNvPr id="17" name="Line 105"/>
        <xdr:cNvSpPr>
          <a:spLocks/>
        </xdr:cNvSpPr>
      </xdr:nvSpPr>
      <xdr:spPr>
        <a:xfrm flipV="1">
          <a:off x="1724025" y="35613975"/>
          <a:ext cx="57150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161925</xdr:colOff>
      <xdr:row>224</xdr:row>
      <xdr:rowOff>152400</xdr:rowOff>
    </xdr:from>
    <xdr:to>
      <xdr:col>1</xdr:col>
      <xdr:colOff>304800</xdr:colOff>
      <xdr:row>228</xdr:row>
      <xdr:rowOff>9525</xdr:rowOff>
    </xdr:to>
    <xdr:sp>
      <xdr:nvSpPr>
        <xdr:cNvPr id="18" name="Line 106"/>
        <xdr:cNvSpPr>
          <a:spLocks/>
        </xdr:cNvSpPr>
      </xdr:nvSpPr>
      <xdr:spPr>
        <a:xfrm flipH="1">
          <a:off x="742950" y="36499800"/>
          <a:ext cx="142875" cy="504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227</xdr:row>
      <xdr:rowOff>142875</xdr:rowOff>
    </xdr:from>
    <xdr:to>
      <xdr:col>1</xdr:col>
      <xdr:colOff>161925</xdr:colOff>
      <xdr:row>234</xdr:row>
      <xdr:rowOff>19050</xdr:rowOff>
    </xdr:to>
    <xdr:sp>
      <xdr:nvSpPr>
        <xdr:cNvPr id="19" name="Line 107"/>
        <xdr:cNvSpPr>
          <a:spLocks/>
        </xdr:cNvSpPr>
      </xdr:nvSpPr>
      <xdr:spPr>
        <a:xfrm flipH="1">
          <a:off x="581025" y="36976050"/>
          <a:ext cx="161925" cy="1009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221</xdr:row>
      <xdr:rowOff>142875</xdr:rowOff>
    </xdr:from>
    <xdr:to>
      <xdr:col>2</xdr:col>
      <xdr:colOff>0</xdr:colOff>
      <xdr:row>224</xdr:row>
      <xdr:rowOff>152400</xdr:rowOff>
    </xdr:to>
    <xdr:sp>
      <xdr:nvSpPr>
        <xdr:cNvPr id="20" name="Line 108"/>
        <xdr:cNvSpPr>
          <a:spLocks/>
        </xdr:cNvSpPr>
      </xdr:nvSpPr>
      <xdr:spPr>
        <a:xfrm flipV="1">
          <a:off x="885825" y="36004500"/>
          <a:ext cx="257175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220</xdr:row>
      <xdr:rowOff>76200</xdr:rowOff>
    </xdr:from>
    <xdr:to>
      <xdr:col>6</xdr:col>
      <xdr:colOff>19050</xdr:colOff>
      <xdr:row>220</xdr:row>
      <xdr:rowOff>76200</xdr:rowOff>
    </xdr:to>
    <xdr:sp>
      <xdr:nvSpPr>
        <xdr:cNvPr id="21" name="Line 114"/>
        <xdr:cNvSpPr>
          <a:spLocks/>
        </xdr:cNvSpPr>
      </xdr:nvSpPr>
      <xdr:spPr>
        <a:xfrm>
          <a:off x="590550" y="357759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219</xdr:row>
      <xdr:rowOff>123825</xdr:rowOff>
    </xdr:from>
    <xdr:to>
      <xdr:col>6</xdr:col>
      <xdr:colOff>9525</xdr:colOff>
      <xdr:row>219</xdr:row>
      <xdr:rowOff>123825</xdr:rowOff>
    </xdr:to>
    <xdr:sp>
      <xdr:nvSpPr>
        <xdr:cNvPr id="22" name="Line 115"/>
        <xdr:cNvSpPr>
          <a:spLocks/>
        </xdr:cNvSpPr>
      </xdr:nvSpPr>
      <xdr:spPr>
        <a:xfrm>
          <a:off x="581025" y="356616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221</xdr:row>
      <xdr:rowOff>38100</xdr:rowOff>
    </xdr:from>
    <xdr:to>
      <xdr:col>6</xdr:col>
      <xdr:colOff>9525</xdr:colOff>
      <xdr:row>221</xdr:row>
      <xdr:rowOff>38100</xdr:rowOff>
    </xdr:to>
    <xdr:sp>
      <xdr:nvSpPr>
        <xdr:cNvPr id="23" name="Line 116"/>
        <xdr:cNvSpPr>
          <a:spLocks/>
        </xdr:cNvSpPr>
      </xdr:nvSpPr>
      <xdr:spPr>
        <a:xfrm>
          <a:off x="581025" y="358997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85725</xdr:rowOff>
    </xdr:from>
    <xdr:to>
      <xdr:col>6</xdr:col>
      <xdr:colOff>9525</xdr:colOff>
      <xdr:row>223</xdr:row>
      <xdr:rowOff>85725</xdr:rowOff>
    </xdr:to>
    <xdr:sp>
      <xdr:nvSpPr>
        <xdr:cNvPr id="24" name="Line 117"/>
        <xdr:cNvSpPr>
          <a:spLocks/>
        </xdr:cNvSpPr>
      </xdr:nvSpPr>
      <xdr:spPr>
        <a:xfrm>
          <a:off x="581025" y="362712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226</xdr:row>
      <xdr:rowOff>95250</xdr:rowOff>
    </xdr:from>
    <xdr:to>
      <xdr:col>6</xdr:col>
      <xdr:colOff>19050</xdr:colOff>
      <xdr:row>226</xdr:row>
      <xdr:rowOff>95250</xdr:rowOff>
    </xdr:to>
    <xdr:sp>
      <xdr:nvSpPr>
        <xdr:cNvPr id="25" name="Line 118"/>
        <xdr:cNvSpPr>
          <a:spLocks/>
        </xdr:cNvSpPr>
      </xdr:nvSpPr>
      <xdr:spPr>
        <a:xfrm>
          <a:off x="590550" y="367665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219</xdr:row>
      <xdr:rowOff>9525</xdr:rowOff>
    </xdr:from>
    <xdr:to>
      <xdr:col>1</xdr:col>
      <xdr:colOff>295275</xdr:colOff>
      <xdr:row>234</xdr:row>
      <xdr:rowOff>9525</xdr:rowOff>
    </xdr:to>
    <xdr:sp>
      <xdr:nvSpPr>
        <xdr:cNvPr id="26" name="Line 119"/>
        <xdr:cNvSpPr>
          <a:spLocks/>
        </xdr:cNvSpPr>
      </xdr:nvSpPr>
      <xdr:spPr>
        <a:xfrm>
          <a:off x="876300" y="355473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295275</xdr:colOff>
      <xdr:row>219</xdr:row>
      <xdr:rowOff>19050</xdr:rowOff>
    </xdr:from>
    <xdr:to>
      <xdr:col>2</xdr:col>
      <xdr:colOff>295275</xdr:colOff>
      <xdr:row>234</xdr:row>
      <xdr:rowOff>19050</xdr:rowOff>
    </xdr:to>
    <xdr:sp>
      <xdr:nvSpPr>
        <xdr:cNvPr id="27" name="Line 120"/>
        <xdr:cNvSpPr>
          <a:spLocks/>
        </xdr:cNvSpPr>
      </xdr:nvSpPr>
      <xdr:spPr>
        <a:xfrm>
          <a:off x="1438275" y="355568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219</xdr:row>
      <xdr:rowOff>9525</xdr:rowOff>
    </xdr:from>
    <xdr:to>
      <xdr:col>3</xdr:col>
      <xdr:colOff>285750</xdr:colOff>
      <xdr:row>234</xdr:row>
      <xdr:rowOff>9525</xdr:rowOff>
    </xdr:to>
    <xdr:sp>
      <xdr:nvSpPr>
        <xdr:cNvPr id="28" name="Line 121"/>
        <xdr:cNvSpPr>
          <a:spLocks/>
        </xdr:cNvSpPr>
      </xdr:nvSpPr>
      <xdr:spPr>
        <a:xfrm>
          <a:off x="2009775" y="355473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304800</xdr:colOff>
      <xdr:row>219</xdr:row>
      <xdr:rowOff>9525</xdr:rowOff>
    </xdr:from>
    <xdr:to>
      <xdr:col>4</xdr:col>
      <xdr:colOff>304800</xdr:colOff>
      <xdr:row>234</xdr:row>
      <xdr:rowOff>9525</xdr:rowOff>
    </xdr:to>
    <xdr:sp>
      <xdr:nvSpPr>
        <xdr:cNvPr id="29" name="Line 122"/>
        <xdr:cNvSpPr>
          <a:spLocks/>
        </xdr:cNvSpPr>
      </xdr:nvSpPr>
      <xdr:spPr>
        <a:xfrm>
          <a:off x="2581275" y="355473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304800</xdr:colOff>
      <xdr:row>219</xdr:row>
      <xdr:rowOff>9525</xdr:rowOff>
    </xdr:from>
    <xdr:to>
      <xdr:col>5</xdr:col>
      <xdr:colOff>304800</xdr:colOff>
      <xdr:row>234</xdr:row>
      <xdr:rowOff>9525</xdr:rowOff>
    </xdr:to>
    <xdr:sp>
      <xdr:nvSpPr>
        <xdr:cNvPr id="30" name="Line 123"/>
        <xdr:cNvSpPr>
          <a:spLocks/>
        </xdr:cNvSpPr>
      </xdr:nvSpPr>
      <xdr:spPr>
        <a:xfrm>
          <a:off x="3133725" y="355473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D436"/>
  <sheetViews>
    <sheetView showGridLines="0" tabSelected="1" zoomScaleSheetLayoutView="100" workbookViewId="0" topLeftCell="A1">
      <selection activeCell="A376" sqref="A376"/>
    </sheetView>
  </sheetViews>
  <sheetFormatPr defaultColWidth="9.00390625" defaultRowHeight="12.75"/>
  <cols>
    <col min="1" max="1" width="7.625" style="1" customWidth="1"/>
    <col min="2" max="2" width="7.375" style="1" customWidth="1"/>
    <col min="3" max="3" width="7.625" style="1" customWidth="1"/>
    <col min="4" max="5" width="7.25390625" style="1" customWidth="1"/>
    <col min="6" max="6" width="7.375" style="1" customWidth="1"/>
    <col min="7" max="7" width="7.25390625" style="1" customWidth="1"/>
    <col min="8" max="9" width="7.75390625" style="1" customWidth="1"/>
    <col min="10" max="10" width="7.375" style="1" customWidth="1"/>
    <col min="11" max="11" width="7.625" style="1" customWidth="1"/>
    <col min="12" max="12" width="8.00390625" style="1" customWidth="1"/>
    <col min="13" max="13" width="9.125" style="1" customWidth="1"/>
    <col min="14" max="14" width="11.125" style="1" customWidth="1"/>
    <col min="15" max="15" width="11.25390625" style="1" customWidth="1"/>
    <col min="16" max="16384" width="9.125" style="1" customWidth="1"/>
  </cols>
  <sheetData>
    <row r="1" s="4" customFormat="1" ht="12.75"/>
    <row r="2" s="4" customFormat="1" ht="12.75">
      <c r="D2" s="5" t="s">
        <v>138</v>
      </c>
    </row>
    <row r="3" s="4" customFormat="1" ht="12.75">
      <c r="D3" s="5"/>
    </row>
    <row r="4" s="4" customFormat="1" ht="12.75">
      <c r="A4" s="4" t="s">
        <v>132</v>
      </c>
    </row>
    <row r="5" s="4" customFormat="1" ht="12.75">
      <c r="A5" s="4" t="s">
        <v>133</v>
      </c>
    </row>
    <row r="6" s="4" customFormat="1" ht="12.75">
      <c r="A6" s="4" t="s">
        <v>134</v>
      </c>
    </row>
    <row r="7" s="4" customFormat="1" ht="12.75">
      <c r="A7" s="4" t="s">
        <v>137</v>
      </c>
    </row>
    <row r="8" s="4" customFormat="1" ht="12.75">
      <c r="A8" s="4" t="s">
        <v>135</v>
      </c>
    </row>
    <row r="9" s="4" customFormat="1" ht="12.75">
      <c r="A9" s="4" t="s">
        <v>136</v>
      </c>
    </row>
    <row r="10" s="4" customFormat="1" ht="12.75">
      <c r="A10" s="4" t="s">
        <v>165</v>
      </c>
    </row>
    <row r="11" s="4" customFormat="1" ht="12.75">
      <c r="A11" s="4" t="s">
        <v>166</v>
      </c>
    </row>
    <row r="12" s="4" customFormat="1" ht="12.75"/>
    <row r="13" s="4" customFormat="1" ht="12.75">
      <c r="A13" s="4" t="s">
        <v>37</v>
      </c>
    </row>
    <row r="14" spans="16:20" s="4" customFormat="1" ht="12.75">
      <c r="P14" s="6"/>
      <c r="Q14" s="6"/>
      <c r="R14" s="6"/>
      <c r="S14" s="6"/>
      <c r="T14" s="6"/>
    </row>
    <row r="15" spans="2:41" ht="12.75">
      <c r="B15" s="26" t="s">
        <v>78</v>
      </c>
      <c r="C15" s="27"/>
      <c r="D15" s="27"/>
      <c r="E15" s="27"/>
      <c r="F15" s="27"/>
      <c r="G15" s="27"/>
      <c r="H15" s="27"/>
      <c r="I15" s="27"/>
      <c r="J15" s="62" t="s">
        <v>13</v>
      </c>
      <c r="K15" s="2">
        <v>2800</v>
      </c>
      <c r="L15" s="9"/>
      <c r="M15" s="4"/>
      <c r="N15" s="4"/>
      <c r="O15" s="4"/>
      <c r="P15" s="4"/>
      <c r="Q15" s="10"/>
      <c r="R15" s="10"/>
      <c r="S15" s="10"/>
      <c r="T15" s="10"/>
      <c r="U15" s="6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2:41" ht="12.75">
      <c r="B16" s="63" t="s">
        <v>80</v>
      </c>
      <c r="C16" s="64"/>
      <c r="D16" s="64"/>
      <c r="E16" s="64"/>
      <c r="F16" s="64"/>
      <c r="G16" s="64"/>
      <c r="H16" s="64"/>
      <c r="I16" s="64"/>
      <c r="J16" s="65" t="s">
        <v>82</v>
      </c>
      <c r="K16" s="2">
        <v>250</v>
      </c>
      <c r="L16" s="9"/>
      <c r="M16" s="4"/>
      <c r="N16" s="4"/>
      <c r="O16" s="4"/>
      <c r="P16" s="4"/>
      <c r="Q16" s="10"/>
      <c r="R16" s="10"/>
      <c r="S16" s="10"/>
      <c r="T16" s="10"/>
      <c r="U16" s="6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2:41" ht="12.75">
      <c r="B17" s="63" t="s">
        <v>76</v>
      </c>
      <c r="C17" s="64"/>
      <c r="D17" s="64"/>
      <c r="E17" s="64"/>
      <c r="F17" s="64"/>
      <c r="G17" s="64"/>
      <c r="H17" s="64"/>
      <c r="I17" s="64"/>
      <c r="J17" s="65" t="s">
        <v>0</v>
      </c>
      <c r="K17" s="2">
        <v>0.7</v>
      </c>
      <c r="L17" s="9"/>
      <c r="M17" s="4"/>
      <c r="N17" s="4"/>
      <c r="O17" s="4"/>
      <c r="P17" s="4"/>
      <c r="Q17" s="10"/>
      <c r="R17" s="11"/>
      <c r="S17" s="11"/>
      <c r="T17" s="11"/>
      <c r="U17" s="6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2:41" ht="12.75">
      <c r="B18" s="63" t="s">
        <v>77</v>
      </c>
      <c r="C18" s="64"/>
      <c r="D18" s="64"/>
      <c r="E18" s="64"/>
      <c r="F18" s="64"/>
      <c r="G18" s="64"/>
      <c r="H18" s="64"/>
      <c r="I18" s="64"/>
      <c r="J18" s="65" t="s">
        <v>21</v>
      </c>
      <c r="K18" s="2">
        <v>0.1</v>
      </c>
      <c r="L18" s="9"/>
      <c r="M18" s="4"/>
      <c r="N18" s="4"/>
      <c r="O18" s="4"/>
      <c r="P18" s="4"/>
      <c r="Q18" s="10"/>
      <c r="R18" s="11"/>
      <c r="S18" s="11"/>
      <c r="T18" s="11"/>
      <c r="U18" s="6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2:41" ht="12.75">
      <c r="B19" s="63" t="s">
        <v>22</v>
      </c>
      <c r="C19" s="64"/>
      <c r="D19" s="64"/>
      <c r="E19" s="64"/>
      <c r="F19" s="64"/>
      <c r="G19" s="64"/>
      <c r="H19" s="64"/>
      <c r="I19" s="64"/>
      <c r="J19" s="65" t="s">
        <v>81</v>
      </c>
      <c r="K19" s="2">
        <v>800</v>
      </c>
      <c r="L19" s="9"/>
      <c r="M19" s="4"/>
      <c r="N19" s="4"/>
      <c r="O19" s="4"/>
      <c r="P19" s="7"/>
      <c r="Q19" s="10"/>
      <c r="R19" s="11"/>
      <c r="S19" s="11"/>
      <c r="T19" s="11"/>
      <c r="U19" s="7"/>
      <c r="V19" s="7"/>
      <c r="W19" s="7"/>
      <c r="X19" s="7"/>
      <c r="Y19" s="7"/>
      <c r="Z19" s="7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2:41" ht="12.75">
      <c r="B20" s="63" t="s">
        <v>79</v>
      </c>
      <c r="C20" s="64"/>
      <c r="D20" s="64"/>
      <c r="E20" s="64"/>
      <c r="F20" s="64"/>
      <c r="G20" s="64"/>
      <c r="H20" s="64"/>
      <c r="I20" s="64"/>
      <c r="J20" s="66"/>
      <c r="K20" s="2">
        <v>1</v>
      </c>
      <c r="L20" s="9"/>
      <c r="M20" s="4"/>
      <c r="N20" s="4"/>
      <c r="O20" s="4"/>
      <c r="P20" s="7"/>
      <c r="Q20" s="10"/>
      <c r="R20" s="11"/>
      <c r="S20" s="11"/>
      <c r="T20" s="11"/>
      <c r="U20" s="7"/>
      <c r="V20" s="7"/>
      <c r="W20" s="7"/>
      <c r="X20" s="7"/>
      <c r="Y20" s="7"/>
      <c r="Z20" s="7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2:41" ht="12.75">
      <c r="B21" s="63" t="s">
        <v>3</v>
      </c>
      <c r="C21" s="64"/>
      <c r="D21" s="64"/>
      <c r="E21" s="64"/>
      <c r="F21" s="64"/>
      <c r="G21" s="64"/>
      <c r="H21" s="64"/>
      <c r="I21" s="64"/>
      <c r="J21" s="65" t="s">
        <v>6</v>
      </c>
      <c r="K21" s="2">
        <v>13.5</v>
      </c>
      <c r="L21" s="9"/>
      <c r="M21" s="4"/>
      <c r="N21" s="4"/>
      <c r="O21" s="4"/>
      <c r="P21" s="7"/>
      <c r="Q21" s="9"/>
      <c r="R21" s="9"/>
      <c r="S21" s="9"/>
      <c r="T21" s="7"/>
      <c r="U21" s="7"/>
      <c r="V21" s="7"/>
      <c r="W21" s="7"/>
      <c r="X21" s="7"/>
      <c r="Y21" s="7"/>
      <c r="Z21" s="7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2:41" ht="12.75">
      <c r="B22" s="63" t="s">
        <v>9</v>
      </c>
      <c r="C22" s="64"/>
      <c r="D22" s="64"/>
      <c r="E22" s="64"/>
      <c r="F22" s="64"/>
      <c r="G22" s="64"/>
      <c r="H22" s="64"/>
      <c r="I22" s="64"/>
      <c r="J22" s="65" t="s">
        <v>10</v>
      </c>
      <c r="K22" s="2">
        <v>250</v>
      </c>
      <c r="L22" s="9"/>
      <c r="M22" s="4"/>
      <c r="N22" s="4"/>
      <c r="O22" s="4"/>
      <c r="P22" s="7"/>
      <c r="Q22" s="9"/>
      <c r="R22" s="9"/>
      <c r="S22" s="9"/>
      <c r="T22" s="7"/>
      <c r="U22" s="7"/>
      <c r="V22" s="7"/>
      <c r="W22" s="7"/>
      <c r="X22" s="7"/>
      <c r="Y22" s="7"/>
      <c r="Z22" s="7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2:41" ht="13.5" customHeight="1">
      <c r="B23" s="63" t="s">
        <v>142</v>
      </c>
      <c r="C23" s="64"/>
      <c r="D23" s="64"/>
      <c r="E23" s="64"/>
      <c r="F23" s="64"/>
      <c r="G23" s="64"/>
      <c r="H23" s="64"/>
      <c r="I23" s="64"/>
      <c r="J23" s="65"/>
      <c r="K23" s="3">
        <v>0.319</v>
      </c>
      <c r="L23" s="9"/>
      <c r="M23" s="4"/>
      <c r="N23" s="4"/>
      <c r="O23" s="4"/>
      <c r="P23" s="7"/>
      <c r="Q23" s="32"/>
      <c r="R23" s="32"/>
      <c r="S23" s="9"/>
      <c r="T23" s="7"/>
      <c r="U23" s="7"/>
      <c r="V23" s="7"/>
      <c r="W23" s="7"/>
      <c r="X23" s="7"/>
      <c r="Y23" s="7"/>
      <c r="Z23" s="7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2:41" ht="14.25" customHeight="1">
      <c r="B24" s="63" t="s">
        <v>143</v>
      </c>
      <c r="C24" s="64"/>
      <c r="D24" s="64"/>
      <c r="E24" s="64"/>
      <c r="F24" s="64"/>
      <c r="G24" s="64"/>
      <c r="H24" s="64"/>
      <c r="I24" s="64"/>
      <c r="J24" s="65"/>
      <c r="K24" s="3">
        <v>0.5</v>
      </c>
      <c r="L24" s="9"/>
      <c r="M24" s="4"/>
      <c r="N24" s="4"/>
      <c r="O24" s="4"/>
      <c r="P24" s="7"/>
      <c r="Q24" s="7"/>
      <c r="R24" s="25"/>
      <c r="S24" s="7"/>
      <c r="T24" s="7"/>
      <c r="U24" s="7"/>
      <c r="V24" s="7"/>
      <c r="W24" s="7"/>
      <c r="X24" s="7"/>
      <c r="Y24" s="7"/>
      <c r="Z24" s="7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2:41" ht="12" customHeight="1">
      <c r="B25" s="63" t="s">
        <v>144</v>
      </c>
      <c r="C25" s="64"/>
      <c r="D25" s="64"/>
      <c r="E25" s="64"/>
      <c r="F25" s="64"/>
      <c r="G25" s="64"/>
      <c r="H25" s="64"/>
      <c r="I25" s="64"/>
      <c r="J25" s="65"/>
      <c r="K25" s="3">
        <v>0.212</v>
      </c>
      <c r="L25" s="9"/>
      <c r="M25" s="4"/>
      <c r="N25" s="4"/>
      <c r="O25" s="4"/>
      <c r="P25" s="7"/>
      <c r="Q25" s="10"/>
      <c r="R25" s="11"/>
      <c r="S25" s="11"/>
      <c r="T25" s="11"/>
      <c r="U25" s="7"/>
      <c r="V25" s="7"/>
      <c r="W25" s="7"/>
      <c r="X25" s="7"/>
      <c r="Y25" s="7"/>
      <c r="Z25" s="7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2:41" ht="12.75">
      <c r="B26" s="63" t="s">
        <v>1</v>
      </c>
      <c r="C26" s="64"/>
      <c r="D26" s="64"/>
      <c r="E26" s="64"/>
      <c r="F26" s="64"/>
      <c r="G26" s="64"/>
      <c r="H26" s="64"/>
      <c r="I26" s="64"/>
      <c r="J26" s="65" t="s">
        <v>4</v>
      </c>
      <c r="K26" s="2">
        <v>1.8</v>
      </c>
      <c r="L26" s="9"/>
      <c r="M26" s="4"/>
      <c r="N26" s="4"/>
      <c r="O26" s="4"/>
      <c r="P26" s="7"/>
      <c r="Q26" s="10"/>
      <c r="R26" s="11"/>
      <c r="S26" s="11"/>
      <c r="T26" s="11"/>
      <c r="U26" s="7"/>
      <c r="V26" s="7"/>
      <c r="W26" s="7"/>
      <c r="X26" s="7"/>
      <c r="Y26" s="7"/>
      <c r="Z26" s="7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2:41" ht="12.75">
      <c r="B27" s="29" t="s">
        <v>2</v>
      </c>
      <c r="C27" s="30"/>
      <c r="D27" s="30"/>
      <c r="E27" s="30"/>
      <c r="F27" s="30"/>
      <c r="G27" s="30"/>
      <c r="H27" s="30"/>
      <c r="I27" s="30"/>
      <c r="J27" s="67" t="s">
        <v>5</v>
      </c>
      <c r="K27" s="2">
        <v>2</v>
      </c>
      <c r="L27" s="9"/>
      <c r="M27" s="4"/>
      <c r="N27" s="4"/>
      <c r="O27" s="4"/>
      <c r="P27" s="7"/>
      <c r="Q27" s="10"/>
      <c r="R27" s="11"/>
      <c r="S27" s="11"/>
      <c r="T27" s="11"/>
      <c r="U27" s="7"/>
      <c r="V27" s="7"/>
      <c r="W27" s="7"/>
      <c r="X27" s="7"/>
      <c r="Y27" s="7"/>
      <c r="Z27" s="7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2:24" s="4" customFormat="1" ht="12.75">
      <c r="B28" s="7"/>
      <c r="C28" s="7"/>
      <c r="D28" s="7"/>
      <c r="E28" s="7"/>
      <c r="F28" s="7"/>
      <c r="G28" s="7"/>
      <c r="H28" s="8"/>
      <c r="I28" s="9"/>
      <c r="J28" s="9"/>
      <c r="L28" s="7"/>
      <c r="M28" s="7"/>
      <c r="N28" s="7"/>
      <c r="O28" s="10"/>
      <c r="P28" s="11"/>
      <c r="Q28" s="11"/>
      <c r="R28" s="11"/>
      <c r="S28" s="7"/>
      <c r="T28" s="7"/>
      <c r="U28" s="7"/>
      <c r="V28" s="7"/>
      <c r="W28" s="7"/>
      <c r="X28" s="7"/>
    </row>
    <row r="29" spans="2:24" s="4" customFormat="1" ht="12.75">
      <c r="B29" s="101" t="s">
        <v>64</v>
      </c>
      <c r="C29" s="14"/>
      <c r="D29" s="14"/>
      <c r="E29" s="13"/>
      <c r="F29" s="98"/>
      <c r="G29" s="12"/>
      <c r="H29" s="14"/>
      <c r="I29" s="14" t="s">
        <v>19</v>
      </c>
      <c r="J29" s="14"/>
      <c r="K29" s="91"/>
      <c r="M29" s="81"/>
      <c r="N29" s="81"/>
      <c r="O29" s="81"/>
      <c r="P29" s="81"/>
      <c r="Q29" s="7"/>
      <c r="R29" s="7"/>
      <c r="S29" s="7"/>
      <c r="T29" s="7"/>
      <c r="U29" s="7"/>
      <c r="V29" s="7"/>
      <c r="W29" s="7"/>
      <c r="X29" s="7"/>
    </row>
    <row r="30" spans="2:24" s="4" customFormat="1" ht="12.75">
      <c r="B30" s="102" t="s">
        <v>63</v>
      </c>
      <c r="C30" s="17"/>
      <c r="D30" s="17"/>
      <c r="E30" s="16"/>
      <c r="F30" s="98"/>
      <c r="G30" s="15"/>
      <c r="H30" s="17"/>
      <c r="I30" s="17" t="s">
        <v>131</v>
      </c>
      <c r="J30" s="17"/>
      <c r="K30" s="92"/>
      <c r="M30" s="81"/>
      <c r="N30" s="81"/>
      <c r="O30" s="81"/>
      <c r="P30" s="81"/>
      <c r="Q30" s="7"/>
      <c r="R30" s="7"/>
      <c r="S30" s="7"/>
      <c r="T30" s="7"/>
      <c r="U30" s="7"/>
      <c r="V30" s="7"/>
      <c r="W30" s="7"/>
      <c r="X30" s="7"/>
    </row>
    <row r="31" spans="2:24" s="4" customFormat="1" ht="12.75">
      <c r="B31" s="103" t="s">
        <v>65</v>
      </c>
      <c r="C31" s="95"/>
      <c r="D31" s="96"/>
      <c r="E31" s="19"/>
      <c r="F31" s="98"/>
      <c r="G31" s="18"/>
      <c r="H31" s="95"/>
      <c r="I31" s="95" t="s">
        <v>155</v>
      </c>
      <c r="J31" s="96"/>
      <c r="K31" s="93"/>
      <c r="M31" s="81"/>
      <c r="N31" s="81"/>
      <c r="O31" s="81"/>
      <c r="P31" s="81"/>
      <c r="Q31" s="7"/>
      <c r="R31" s="7"/>
      <c r="S31" s="7"/>
      <c r="T31" s="7"/>
      <c r="U31" s="7"/>
      <c r="V31" s="7"/>
      <c r="W31" s="7"/>
      <c r="X31" s="7"/>
    </row>
    <row r="32" spans="2:24" s="4" customFormat="1" ht="12.75">
      <c r="B32" s="104" t="s">
        <v>164</v>
      </c>
      <c r="C32" s="21"/>
      <c r="D32" s="97"/>
      <c r="E32" s="22"/>
      <c r="F32" s="94"/>
      <c r="G32" s="20"/>
      <c r="H32" s="97"/>
      <c r="I32" s="23" t="s">
        <v>35</v>
      </c>
      <c r="J32" s="97"/>
      <c r="K32" s="22"/>
      <c r="M32" s="7"/>
      <c r="N32" s="7"/>
      <c r="O32" s="9"/>
      <c r="P32" s="7"/>
      <c r="Q32" s="7"/>
      <c r="R32" s="7"/>
      <c r="S32" s="7"/>
      <c r="T32" s="7"/>
      <c r="U32" s="7"/>
      <c r="V32" s="7"/>
      <c r="W32" s="7"/>
      <c r="X32" s="7"/>
    </row>
    <row r="33" spans="2:24" s="4" customFormat="1" ht="12.75">
      <c r="B33" s="7"/>
      <c r="C33" s="24"/>
      <c r="D33" s="7"/>
      <c r="E33" s="6"/>
      <c r="F33" s="7"/>
      <c r="G33" s="25"/>
      <c r="H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2" s="4" customFormat="1" ht="12.75">
      <c r="A34" s="7"/>
      <c r="B34" s="70"/>
      <c r="C34" s="71"/>
      <c r="D34" s="72" t="s">
        <v>12</v>
      </c>
      <c r="E34" s="72"/>
      <c r="F34" s="69"/>
      <c r="G34" s="9"/>
      <c r="H34" s="7" t="s">
        <v>83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s="4" customFormat="1" ht="12.75">
      <c r="B35" s="73"/>
      <c r="C35" s="74"/>
      <c r="D35" s="68" t="s">
        <v>38</v>
      </c>
      <c r="E35" s="68"/>
      <c r="F35" s="75"/>
      <c r="G35" s="9"/>
      <c r="H35" s="7" t="s">
        <v>84</v>
      </c>
      <c r="I35" s="7"/>
      <c r="J35" s="7"/>
      <c r="K35" s="9"/>
      <c r="L35" s="9"/>
      <c r="M35" s="9"/>
      <c r="N35" s="7"/>
      <c r="O35" s="7"/>
      <c r="P35" s="7"/>
      <c r="Q35" s="7"/>
      <c r="R35" s="7"/>
      <c r="S35" s="7"/>
      <c r="T35" s="7"/>
      <c r="U35" s="7"/>
      <c r="V35" s="7"/>
    </row>
    <row r="36" spans="2:22" s="4" customFormat="1" ht="12.75">
      <c r="B36" s="76"/>
      <c r="C36" s="77"/>
      <c r="D36" s="78" t="s">
        <v>39</v>
      </c>
      <c r="E36" s="78"/>
      <c r="F36" s="79"/>
      <c r="G36" s="9"/>
      <c r="H36" s="7" t="s">
        <v>85</v>
      </c>
      <c r="I36" s="7"/>
      <c r="J36" s="9"/>
      <c r="K36" s="9"/>
      <c r="L36" s="9"/>
      <c r="M36" s="81"/>
      <c r="N36" s="9"/>
      <c r="O36" s="9"/>
      <c r="P36" s="7"/>
      <c r="Q36" s="7"/>
      <c r="R36" s="7"/>
      <c r="S36" s="7"/>
      <c r="T36" s="7"/>
      <c r="U36" s="7"/>
      <c r="V36" s="7"/>
    </row>
    <row r="37" spans="2:22" s="4" customFormat="1" ht="15" customHeight="1">
      <c r="B37" s="80" t="s">
        <v>18</v>
      </c>
      <c r="C37" s="31" t="s">
        <v>145</v>
      </c>
      <c r="D37" s="109" t="s">
        <v>139</v>
      </c>
      <c r="E37" s="109" t="s">
        <v>140</v>
      </c>
      <c r="F37" s="109" t="s">
        <v>141</v>
      </c>
      <c r="G37" s="10"/>
      <c r="H37" s="7" t="s">
        <v>86</v>
      </c>
      <c r="I37" s="7"/>
      <c r="J37" s="9"/>
      <c r="K37" s="32"/>
      <c r="L37" s="9"/>
      <c r="M37" s="81"/>
      <c r="N37" s="9"/>
      <c r="O37" s="9"/>
      <c r="P37" s="7"/>
      <c r="Q37" s="7"/>
      <c r="R37" s="7"/>
      <c r="S37" s="7"/>
      <c r="T37" s="7"/>
      <c r="U37" s="7"/>
      <c r="V37" s="7"/>
    </row>
    <row r="38" spans="2:22" s="4" customFormat="1" ht="12.75">
      <c r="B38" s="33" t="s">
        <v>16</v>
      </c>
      <c r="C38" s="34">
        <v>60</v>
      </c>
      <c r="D38" s="35">
        <v>0.218</v>
      </c>
      <c r="E38" s="35">
        <v>0.391</v>
      </c>
      <c r="F38" s="35">
        <v>0.276</v>
      </c>
      <c r="G38" s="11"/>
      <c r="H38" s="7" t="s">
        <v>88</v>
      </c>
      <c r="I38" s="7"/>
      <c r="J38" s="32"/>
      <c r="K38" s="7"/>
      <c r="L38" s="32"/>
      <c r="M38" s="99"/>
      <c r="N38" s="9"/>
      <c r="O38" s="9"/>
      <c r="P38" s="7"/>
      <c r="Q38" s="7"/>
      <c r="R38" s="7"/>
      <c r="S38" s="7"/>
      <c r="T38" s="7"/>
      <c r="U38" s="7"/>
      <c r="V38" s="7"/>
    </row>
    <row r="39" spans="2:22" s="4" customFormat="1" ht="12.75">
      <c r="B39" s="33" t="s">
        <v>16</v>
      </c>
      <c r="C39" s="34">
        <v>65</v>
      </c>
      <c r="D39" s="35">
        <v>0.236</v>
      </c>
      <c r="E39" s="35">
        <v>0.414</v>
      </c>
      <c r="F39" s="35">
        <v>0.274</v>
      </c>
      <c r="G39" s="11"/>
      <c r="H39" s="7" t="s">
        <v>89</v>
      </c>
      <c r="I39" s="7"/>
      <c r="J39" s="7"/>
      <c r="K39" s="7"/>
      <c r="L39" s="24"/>
      <c r="M39" s="100"/>
      <c r="N39" s="24"/>
      <c r="O39" s="7"/>
      <c r="P39" s="7"/>
      <c r="Q39" s="7"/>
      <c r="R39" s="7"/>
      <c r="S39" s="7"/>
      <c r="T39" s="7"/>
      <c r="U39" s="7"/>
      <c r="V39" s="7"/>
    </row>
    <row r="40" spans="2:22" s="4" customFormat="1" ht="12.75">
      <c r="B40" s="33" t="s">
        <v>16</v>
      </c>
      <c r="C40" s="34">
        <v>70</v>
      </c>
      <c r="D40" s="35">
        <v>0.253</v>
      </c>
      <c r="E40" s="35">
        <v>0.436</v>
      </c>
      <c r="F40" s="35">
        <v>0.276</v>
      </c>
      <c r="G40" s="11"/>
      <c r="H40" s="7" t="s">
        <v>87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s="4" customFormat="1" ht="12.75">
      <c r="B41" s="33" t="s">
        <v>16</v>
      </c>
      <c r="C41" s="34">
        <v>75</v>
      </c>
      <c r="D41" s="35">
        <v>0.269</v>
      </c>
      <c r="E41" s="35">
        <v>0.455</v>
      </c>
      <c r="F41" s="35">
        <v>0.258</v>
      </c>
      <c r="G41" s="11"/>
      <c r="H41" s="7" t="s">
        <v>90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11" s="4" customFormat="1" ht="12.75">
      <c r="B42" s="33" t="s">
        <v>16</v>
      </c>
      <c r="C42" s="33">
        <v>80</v>
      </c>
      <c r="D42" s="36">
        <v>0.286</v>
      </c>
      <c r="E42" s="36">
        <v>0.472</v>
      </c>
      <c r="F42" s="36">
        <v>0.245</v>
      </c>
      <c r="G42" s="11"/>
      <c r="H42" s="7" t="s">
        <v>100</v>
      </c>
      <c r="I42" s="7"/>
      <c r="J42" s="7"/>
      <c r="K42" s="7"/>
    </row>
    <row r="43" spans="2:11" s="4" customFormat="1" ht="12.75">
      <c r="B43" s="33" t="s">
        <v>16</v>
      </c>
      <c r="C43" s="34">
        <v>85</v>
      </c>
      <c r="D43" s="35">
        <v>0.302</v>
      </c>
      <c r="E43" s="35">
        <v>0.487</v>
      </c>
      <c r="F43" s="35">
        <v>0.23</v>
      </c>
      <c r="G43" s="11"/>
      <c r="H43" s="7" t="s">
        <v>91</v>
      </c>
      <c r="I43" s="7"/>
      <c r="J43" s="7"/>
      <c r="K43" s="7"/>
    </row>
    <row r="44" spans="2:11" s="4" customFormat="1" ht="12.75">
      <c r="B44" s="85" t="s">
        <v>15</v>
      </c>
      <c r="C44" s="85">
        <v>90</v>
      </c>
      <c r="D44" s="86">
        <v>0.319</v>
      </c>
      <c r="E44" s="86">
        <v>0.5</v>
      </c>
      <c r="F44" s="86">
        <v>0.212</v>
      </c>
      <c r="G44" s="11"/>
      <c r="H44" s="7" t="s">
        <v>93</v>
      </c>
      <c r="I44" s="7"/>
      <c r="J44" s="7"/>
      <c r="K44" s="7"/>
    </row>
    <row r="45" spans="2:11" s="4" customFormat="1" ht="12.75">
      <c r="B45" s="33" t="s">
        <v>17</v>
      </c>
      <c r="C45" s="34">
        <v>95</v>
      </c>
      <c r="D45" s="35">
        <v>0.334</v>
      </c>
      <c r="E45" s="35">
        <v>0.51</v>
      </c>
      <c r="F45" s="35">
        <v>0.193</v>
      </c>
      <c r="G45" s="11"/>
      <c r="H45" s="7" t="s">
        <v>94</v>
      </c>
      <c r="I45" s="7"/>
      <c r="J45" s="7"/>
      <c r="K45" s="7"/>
    </row>
    <row r="46" spans="2:11" s="4" customFormat="1" ht="12.75">
      <c r="B46" s="33" t="s">
        <v>17</v>
      </c>
      <c r="C46" s="34">
        <v>100</v>
      </c>
      <c r="D46" s="35">
        <v>0.35</v>
      </c>
      <c r="E46" s="35">
        <v>0.52</v>
      </c>
      <c r="F46" s="35">
        <v>0.172</v>
      </c>
      <c r="H46" s="7" t="s">
        <v>95</v>
      </c>
      <c r="I46" s="7"/>
      <c r="J46" s="7"/>
      <c r="K46" s="7"/>
    </row>
    <row r="47" spans="2:11" s="4" customFormat="1" ht="12.75">
      <c r="B47" s="33" t="s">
        <v>17</v>
      </c>
      <c r="C47" s="34">
        <v>105</v>
      </c>
      <c r="D47" s="35">
        <v>0.364</v>
      </c>
      <c r="E47" s="35">
        <v>0.526</v>
      </c>
      <c r="F47" s="35">
        <v>0.152</v>
      </c>
      <c r="H47" s="7" t="s">
        <v>96</v>
      </c>
      <c r="I47" s="7"/>
      <c r="J47" s="7"/>
      <c r="K47" s="7"/>
    </row>
    <row r="48" spans="2:11" s="4" customFormat="1" ht="12.75">
      <c r="B48" s="33" t="s">
        <v>17</v>
      </c>
      <c r="C48" s="33">
        <v>110</v>
      </c>
      <c r="D48" s="36">
        <v>0.37</v>
      </c>
      <c r="E48" s="36">
        <v>0.531</v>
      </c>
      <c r="F48" s="36">
        <v>0.131</v>
      </c>
      <c r="H48" s="7" t="s">
        <v>97</v>
      </c>
      <c r="I48" s="7"/>
      <c r="J48" s="7"/>
      <c r="K48" s="7"/>
    </row>
    <row r="49" spans="2:11" s="4" customFormat="1" ht="12.75">
      <c r="B49" s="33" t="s">
        <v>17</v>
      </c>
      <c r="C49" s="34">
        <v>115</v>
      </c>
      <c r="D49" s="35">
        <v>0.392</v>
      </c>
      <c r="E49" s="35">
        <v>0.534</v>
      </c>
      <c r="F49" s="35">
        <v>0.111</v>
      </c>
      <c r="H49" s="7"/>
      <c r="I49" s="7"/>
      <c r="J49" s="7"/>
      <c r="K49" s="7"/>
    </row>
    <row r="50" spans="2:11" s="4" customFormat="1" ht="12.75">
      <c r="B50" s="33" t="s">
        <v>17</v>
      </c>
      <c r="C50" s="34">
        <v>120</v>
      </c>
      <c r="D50" s="35">
        <v>0.406</v>
      </c>
      <c r="E50" s="35">
        <v>0.536</v>
      </c>
      <c r="F50" s="35">
        <v>0.092</v>
      </c>
      <c r="H50" s="7"/>
      <c r="I50" s="7"/>
      <c r="J50" s="7"/>
      <c r="K50" s="7"/>
    </row>
    <row r="51" spans="2:11" s="4" customFormat="1" ht="12.75">
      <c r="B51" s="33" t="s">
        <v>17</v>
      </c>
      <c r="C51" s="34">
        <v>125</v>
      </c>
      <c r="D51" s="35">
        <v>0.419</v>
      </c>
      <c r="E51" s="35">
        <v>0.536</v>
      </c>
      <c r="F51" s="35">
        <v>0.074</v>
      </c>
      <c r="H51" s="7"/>
      <c r="I51" s="7"/>
      <c r="J51" s="7"/>
      <c r="K51" s="7"/>
    </row>
    <row r="52" spans="3:7" s="4" customFormat="1" ht="12.75">
      <c r="C52" s="37"/>
      <c r="D52" s="32"/>
      <c r="E52" s="11"/>
      <c r="F52" s="11"/>
      <c r="G52" s="11"/>
    </row>
    <row r="53" spans="2:12" s="4" customFormat="1" ht="12.75">
      <c r="B53" s="38" t="s">
        <v>23</v>
      </c>
      <c r="C53" s="41">
        <f>$K$57*$K$15/($K$24*$K$17/(($K$23)+(0.88*($K$18*$K$18*$K$23*$K$23/($K$17*$K$17)))))</f>
        <v>2337.457824139942</v>
      </c>
      <c r="E53" s="9"/>
      <c r="F53" s="9"/>
      <c r="G53" s="7"/>
      <c r="H53" s="7"/>
      <c r="I53" s="7"/>
      <c r="J53" s="8" t="s">
        <v>157</v>
      </c>
      <c r="K53" s="39">
        <f>$K$15*$K$17</f>
        <v>1959.9999999999998</v>
      </c>
      <c r="L53" s="7"/>
    </row>
    <row r="54" spans="2:12" s="4" customFormat="1" ht="12.75">
      <c r="B54" s="38" t="s">
        <v>92</v>
      </c>
      <c r="C54" s="40">
        <f>1-$K$21/$K$22</f>
        <v>0.946</v>
      </c>
      <c r="E54" s="9"/>
      <c r="F54" s="9"/>
      <c r="G54" s="7"/>
      <c r="H54" s="7"/>
      <c r="I54" s="7"/>
      <c r="J54" s="8" t="s">
        <v>158</v>
      </c>
      <c r="K54" s="41">
        <f>K53*1.5</f>
        <v>2939.9999999999995</v>
      </c>
      <c r="L54" s="7"/>
    </row>
    <row r="55" spans="2:11" s="4" customFormat="1" ht="12.75">
      <c r="B55" s="38" t="s">
        <v>24</v>
      </c>
      <c r="C55" s="41">
        <f>0.5*$K$24*$K$17*$K$57*$K$15/(($K$23)+(0.88*($K$18*$K$18*$K$23*$K$23/($K$17*$K$17))))</f>
        <v>1390.9341877414554</v>
      </c>
      <c r="E55" s="38"/>
      <c r="F55" s="38"/>
      <c r="G55" s="7"/>
      <c r="H55" s="7"/>
      <c r="I55" s="7"/>
      <c r="J55" s="8" t="s">
        <v>156</v>
      </c>
      <c r="K55" s="42">
        <f>100*$C$56/$K$53</f>
        <v>67.13386436752126</v>
      </c>
    </row>
    <row r="56" spans="2:11" s="4" customFormat="1" ht="12.75">
      <c r="B56" s="38" t="s">
        <v>25</v>
      </c>
      <c r="C56" s="41">
        <f>C55*C54</f>
        <v>1315.8237416034167</v>
      </c>
      <c r="G56" s="9"/>
      <c r="H56" s="9"/>
      <c r="I56" s="9"/>
      <c r="J56" s="8" t="s">
        <v>99</v>
      </c>
      <c r="K56" s="41">
        <f>$K$53-$C$55</f>
        <v>569.0658122585444</v>
      </c>
    </row>
    <row r="57" spans="2:17" s="4" customFormat="1" ht="12.75">
      <c r="B57" s="38" t="s">
        <v>36</v>
      </c>
      <c r="C57" s="107">
        <f>(1.26*100*$K$25/$K$24)/6</f>
        <v>8.904</v>
      </c>
      <c r="E57" s="38"/>
      <c r="F57" s="4" t="s">
        <v>98</v>
      </c>
      <c r="K57" s="43">
        <f>IF($K$20=1,($K$15-$K$16)/$K$15,($K$15-(1.1*$K$19))/$K$15)</f>
        <v>0.9107142857142857</v>
      </c>
      <c r="O57" s="44"/>
      <c r="Q57" s="6"/>
    </row>
    <row r="58" spans="3:17" s="4" customFormat="1" ht="12.75">
      <c r="C58" s="38"/>
      <c r="D58" s="45"/>
      <c r="E58" s="46"/>
      <c r="F58" s="47" t="s">
        <v>34</v>
      </c>
      <c r="G58" s="45"/>
      <c r="H58" s="45"/>
      <c r="I58" s="45"/>
      <c r="J58" s="7"/>
      <c r="O58" s="44"/>
      <c r="Q58" s="6"/>
    </row>
    <row r="59" spans="4:16" s="48" customFormat="1" ht="12.75">
      <c r="D59" s="45"/>
      <c r="E59" s="45"/>
      <c r="F59" s="7"/>
      <c r="G59" s="8"/>
      <c r="H59" s="49"/>
      <c r="I59" s="7"/>
      <c r="N59" s="50"/>
      <c r="P59" s="7"/>
    </row>
    <row r="60" s="4" customFormat="1" ht="12.75"/>
    <row r="61" s="4" customFormat="1" ht="12.75"/>
    <row r="62" s="4" customFormat="1" ht="12.75">
      <c r="F62" s="51" t="s">
        <v>101</v>
      </c>
    </row>
    <row r="63" spans="1:2" s="4" customFormat="1" ht="12.75">
      <c r="A63" s="51" t="s">
        <v>66</v>
      </c>
      <c r="B63" s="51"/>
    </row>
    <row r="64" s="4" customFormat="1" ht="12.75">
      <c r="A64" s="51" t="s">
        <v>169</v>
      </c>
    </row>
    <row r="65" s="4" customFormat="1" ht="12.75"/>
    <row r="66" spans="3:18" s="4" customFormat="1" ht="12.75">
      <c r="C66" s="20"/>
      <c r="D66" s="52" t="s">
        <v>75</v>
      </c>
      <c r="E66" s="52" t="s">
        <v>7</v>
      </c>
      <c r="F66" s="52" t="s">
        <v>14</v>
      </c>
      <c r="G66" s="52" t="s">
        <v>8</v>
      </c>
      <c r="H66" s="52" t="s">
        <v>68</v>
      </c>
      <c r="I66" s="52" t="s">
        <v>72</v>
      </c>
      <c r="J66" s="52" t="s">
        <v>71</v>
      </c>
      <c r="N66" s="10"/>
      <c r="O66" s="11"/>
      <c r="P66" s="11"/>
      <c r="Q66" s="11"/>
      <c r="R66" s="6"/>
    </row>
    <row r="67" spans="3:17" s="4" customFormat="1" ht="12.75">
      <c r="C67" s="28"/>
      <c r="D67" s="53">
        <v>150</v>
      </c>
      <c r="E67" s="42">
        <f>159000/($K$26*J67)</f>
        <v>414.1443789160233</v>
      </c>
      <c r="F67" s="42">
        <f>159200/((($K$26+$K$27)/2)*J67)</f>
        <v>392.84082496582465</v>
      </c>
      <c r="G67" s="42">
        <f>159000/($K$27*J67)</f>
        <v>372.72994102442095</v>
      </c>
      <c r="H67" s="41">
        <f aca="true" t="shared" si="0" ref="H67:H77">1.42*SQRT(I67*J67)</f>
        <v>2560.4336546764885</v>
      </c>
      <c r="I67" s="41">
        <f aca="true" t="shared" si="1" ref="I67:I78">$C$55*$C$53/J67</f>
        <v>15243.24805981948</v>
      </c>
      <c r="J67" s="59">
        <f aca="true" t="shared" si="2" ref="J67:J78">($C$53*J80)/(($K$21*J80)-(D67*$C$54))</f>
        <v>213.29115600828865</v>
      </c>
      <c r="M67" s="10"/>
      <c r="N67" s="11"/>
      <c r="O67" s="11"/>
      <c r="P67" s="11"/>
      <c r="Q67" s="6"/>
    </row>
    <row r="68" spans="3:16" s="4" customFormat="1" ht="12.75">
      <c r="C68" s="28"/>
      <c r="D68" s="53">
        <v>125</v>
      </c>
      <c r="E68" s="42">
        <f aca="true" t="shared" si="3" ref="E68:E78">159000/($K$26*J68)</f>
        <v>421.86566211934024</v>
      </c>
      <c r="F68" s="42">
        <f aca="true" t="shared" si="4" ref="F68:F78">159200/((($K$26+$K$27)/2)*J68)</f>
        <v>400.1649259745718</v>
      </c>
      <c r="G68" s="42">
        <f aca="true" t="shared" si="5" ref="G68:G78">159000/($K$27*J68)</f>
        <v>379.67909590740624</v>
      </c>
      <c r="H68" s="41">
        <f t="shared" si="0"/>
        <v>2560.4336546764885</v>
      </c>
      <c r="I68" s="41">
        <f t="shared" si="1"/>
        <v>15527.442271307606</v>
      </c>
      <c r="J68" s="59">
        <f t="shared" si="2"/>
        <v>209.38735067834222</v>
      </c>
      <c r="M68" s="6"/>
      <c r="N68" s="6"/>
      <c r="O68" s="6"/>
      <c r="P68" s="6"/>
    </row>
    <row r="69" spans="3:10" s="4" customFormat="1" ht="12.75">
      <c r="C69" s="28"/>
      <c r="D69" s="53">
        <v>100</v>
      </c>
      <c r="E69" s="42">
        <f t="shared" si="3"/>
        <v>430.8452698275215</v>
      </c>
      <c r="F69" s="42">
        <f t="shared" si="4"/>
        <v>408.68262337561924</v>
      </c>
      <c r="G69" s="42">
        <f t="shared" si="5"/>
        <v>387.76074284476937</v>
      </c>
      <c r="H69" s="41">
        <f t="shared" si="0"/>
        <v>2560.4336546764885</v>
      </c>
      <c r="I69" s="41">
        <f t="shared" si="1"/>
        <v>15857.95113426486</v>
      </c>
      <c r="J69" s="59">
        <f t="shared" si="2"/>
        <v>205.02333324605246</v>
      </c>
    </row>
    <row r="70" spans="3:10" s="4" customFormat="1" ht="12.75">
      <c r="C70" s="28"/>
      <c r="D70" s="53">
        <v>90</v>
      </c>
      <c r="E70" s="42">
        <f t="shared" si="3"/>
        <v>434.91284371379527</v>
      </c>
      <c r="F70" s="42">
        <f t="shared" si="4"/>
        <v>412.540961584327</v>
      </c>
      <c r="G70" s="42">
        <f t="shared" si="5"/>
        <v>391.4215593424158</v>
      </c>
      <c r="H70" s="41">
        <f t="shared" si="0"/>
        <v>2560.4336546764885</v>
      </c>
      <c r="I70" s="41">
        <f t="shared" si="1"/>
        <v>16007.66471461672</v>
      </c>
      <c r="J70" s="59">
        <f t="shared" si="2"/>
        <v>203.10582823684825</v>
      </c>
    </row>
    <row r="71" spans="3:10" s="4" customFormat="1" ht="12.75">
      <c r="C71" s="28"/>
      <c r="D71" s="53">
        <v>75</v>
      </c>
      <c r="E71" s="42">
        <f t="shared" si="3"/>
        <v>441.7051850482783</v>
      </c>
      <c r="F71" s="42">
        <f t="shared" si="4"/>
        <v>418.98390542017427</v>
      </c>
      <c r="G71" s="42">
        <f t="shared" si="5"/>
        <v>397.5346665434505</v>
      </c>
      <c r="H71" s="41">
        <f t="shared" si="0"/>
        <v>2560.4336546764885</v>
      </c>
      <c r="I71" s="41">
        <f t="shared" si="1"/>
        <v>16257.66773080998</v>
      </c>
      <c r="J71" s="59">
        <f t="shared" si="2"/>
        <v>199.98255923502123</v>
      </c>
    </row>
    <row r="72" spans="3:10" s="4" customFormat="1" ht="12.75">
      <c r="C72" s="28"/>
      <c r="D72" s="53">
        <v>60</v>
      </c>
      <c r="E72" s="42">
        <f t="shared" si="3"/>
        <v>449.62457620053414</v>
      </c>
      <c r="F72" s="42">
        <f t="shared" si="4"/>
        <v>426.4959237207053</v>
      </c>
      <c r="G72" s="42">
        <f t="shared" si="5"/>
        <v>404.6621185804807</v>
      </c>
      <c r="H72" s="41">
        <f t="shared" si="0"/>
        <v>2560.433654676489</v>
      </c>
      <c r="I72" s="41">
        <f t="shared" si="1"/>
        <v>16549.153623079095</v>
      </c>
      <c r="J72" s="59">
        <f t="shared" si="2"/>
        <v>196.46019814970336</v>
      </c>
    </row>
    <row r="73" spans="3:10" s="4" customFormat="1" ht="12.75">
      <c r="C73" s="28" t="s">
        <v>73</v>
      </c>
      <c r="D73" s="54">
        <v>50</v>
      </c>
      <c r="E73" s="82">
        <f t="shared" si="3"/>
        <v>455.8091595847463</v>
      </c>
      <c r="F73" s="82">
        <f t="shared" si="4"/>
        <v>432.3623726269609</v>
      </c>
      <c r="G73" s="82">
        <f t="shared" si="5"/>
        <v>410.22824362627165</v>
      </c>
      <c r="H73" s="41">
        <f t="shared" si="0"/>
        <v>2560.4336546764885</v>
      </c>
      <c r="I73" s="83">
        <f t="shared" si="1"/>
        <v>16776.787133206486</v>
      </c>
      <c r="J73" s="84">
        <f t="shared" si="2"/>
        <v>193.79455519017486</v>
      </c>
    </row>
    <row r="74" spans="3:10" s="4" customFormat="1" ht="12.75">
      <c r="C74" s="28"/>
      <c r="D74" s="53">
        <v>40</v>
      </c>
      <c r="E74" s="42">
        <f t="shared" si="3"/>
        <v>463.08765146084147</v>
      </c>
      <c r="F74" s="42">
        <f t="shared" si="4"/>
        <v>439.26645945918153</v>
      </c>
      <c r="G74" s="42">
        <f t="shared" si="5"/>
        <v>416.77888631475736</v>
      </c>
      <c r="H74" s="41">
        <f t="shared" si="0"/>
        <v>2560.433654676489</v>
      </c>
      <c r="I74" s="41">
        <f t="shared" si="1"/>
        <v>17044.68369975918</v>
      </c>
      <c r="J74" s="59">
        <f t="shared" si="2"/>
        <v>190.74862621510167</v>
      </c>
    </row>
    <row r="75" spans="3:10" s="4" customFormat="1" ht="12.75">
      <c r="C75" s="28"/>
      <c r="D75" s="53">
        <v>33</v>
      </c>
      <c r="E75" s="42">
        <f t="shared" si="3"/>
        <v>469.1711459828799</v>
      </c>
      <c r="F75" s="42">
        <f t="shared" si="4"/>
        <v>445.0370195063029</v>
      </c>
      <c r="G75" s="42">
        <f t="shared" si="5"/>
        <v>422.254031384592</v>
      </c>
      <c r="H75" s="41">
        <f t="shared" si="0"/>
        <v>2560.4336546764885</v>
      </c>
      <c r="I75" s="41">
        <f t="shared" si="1"/>
        <v>17268.596472190624</v>
      </c>
      <c r="J75" s="59">
        <f t="shared" si="2"/>
        <v>188.27528949650414</v>
      </c>
    </row>
    <row r="76" spans="3:10" s="4" customFormat="1" ht="12.75">
      <c r="C76" s="28"/>
      <c r="D76" s="53">
        <v>25</v>
      </c>
      <c r="E76" s="42">
        <f t="shared" si="3"/>
        <v>477.82089369128647</v>
      </c>
      <c r="F76" s="42">
        <f t="shared" si="4"/>
        <v>453.2418248797586</v>
      </c>
      <c r="G76" s="42">
        <f t="shared" si="5"/>
        <v>430.0388043221579</v>
      </c>
      <c r="H76" s="41">
        <f t="shared" si="0"/>
        <v>2560.433654676488</v>
      </c>
      <c r="I76" s="41">
        <f t="shared" si="1"/>
        <v>17586.964308835417</v>
      </c>
      <c r="J76" s="59">
        <f t="shared" si="2"/>
        <v>184.8670380462774</v>
      </c>
    </row>
    <row r="77" spans="3:10" s="4" customFormat="1" ht="12.75">
      <c r="C77" s="28"/>
      <c r="D77" s="55">
        <v>20</v>
      </c>
      <c r="E77" s="42">
        <f t="shared" si="3"/>
        <v>484.9316197071575</v>
      </c>
      <c r="F77" s="42">
        <f t="shared" si="4"/>
        <v>459.98677571427686</v>
      </c>
      <c r="G77" s="42">
        <f t="shared" si="5"/>
        <v>436.4384577364417</v>
      </c>
      <c r="H77" s="41">
        <f t="shared" si="0"/>
        <v>2560.4336546764885</v>
      </c>
      <c r="I77" s="41">
        <f t="shared" si="1"/>
        <v>17848.6859838441</v>
      </c>
      <c r="J77" s="59">
        <f t="shared" si="2"/>
        <v>182.15626645809658</v>
      </c>
    </row>
    <row r="78" spans="3:10" s="4" customFormat="1" ht="12.75">
      <c r="C78" s="56"/>
      <c r="D78" s="53">
        <v>17</v>
      </c>
      <c r="E78" s="42">
        <f t="shared" si="3"/>
        <v>490.49602145807495</v>
      </c>
      <c r="F78" s="42">
        <f t="shared" si="4"/>
        <v>465.2649450811849</v>
      </c>
      <c r="G78" s="42">
        <f t="shared" si="5"/>
        <v>441.44641931226744</v>
      </c>
      <c r="H78" s="41">
        <f>1.42*SQRT(I78*J78)</f>
        <v>2560.4336546764885</v>
      </c>
      <c r="I78" s="41">
        <f t="shared" si="1"/>
        <v>18053.492714327163</v>
      </c>
      <c r="J78" s="59">
        <f t="shared" si="2"/>
        <v>180.08980596977912</v>
      </c>
    </row>
    <row r="79" spans="2:10" s="4" customFormat="1" ht="12.75">
      <c r="B79" s="48"/>
      <c r="C79" s="20"/>
      <c r="D79" s="52" t="s">
        <v>75</v>
      </c>
      <c r="E79" s="52" t="s">
        <v>7</v>
      </c>
      <c r="F79" s="52" t="s">
        <v>14</v>
      </c>
      <c r="G79" s="52" t="s">
        <v>8</v>
      </c>
      <c r="H79" s="52" t="s">
        <v>68</v>
      </c>
      <c r="I79" s="52" t="s">
        <v>72</v>
      </c>
      <c r="J79" s="52" t="s">
        <v>70</v>
      </c>
    </row>
    <row r="80" spans="3:10" s="4" customFormat="1" ht="12.75">
      <c r="C80" s="57"/>
      <c r="D80" s="53">
        <v>150</v>
      </c>
      <c r="E80" s="41">
        <f>159000/($K$26*J80)</f>
        <v>1581.7828131019342</v>
      </c>
      <c r="F80" s="41">
        <f>159200/((($K$26+$K$27)/2)*J80)</f>
        <v>1500.4160308589546</v>
      </c>
      <c r="G80" s="41">
        <f>159000/($K$27*J80)</f>
        <v>1423.6045317917406</v>
      </c>
      <c r="H80" s="41">
        <f aca="true" t="shared" si="6" ref="H80:H91">1.42*SQRT(I80*J80*$C$54)</f>
        <v>613.5901810211433</v>
      </c>
      <c r="I80" s="41">
        <f aca="true" t="shared" si="7" ref="I80:I91">$C$55*D80*$C$54/J80</f>
        <v>3534.3634746901666</v>
      </c>
      <c r="J80" s="59">
        <f aca="true" t="shared" si="8" ref="J80:J91">($C$53-($C$54*D80))/(SQRT((($C$53/D80)*(($K$21*$K$21)+1+($C$54*$C$54))/$C$54)-(($C$53/D80)*($C$53/D80))-1)-$K$21)</f>
        <v>55.84416052675932</v>
      </c>
    </row>
    <row r="81" spans="3:10" s="4" customFormat="1" ht="12.75">
      <c r="C81" s="28"/>
      <c r="D81" s="53">
        <v>125</v>
      </c>
      <c r="E81" s="41">
        <f aca="true" t="shared" si="9" ref="E81:E91">159000/($K$26*J81)</f>
        <v>1745.5121128386538</v>
      </c>
      <c r="F81" s="41">
        <f aca="true" t="shared" si="10" ref="F81:F91">159200/((($K$26+$K$27)/2)*J81)</f>
        <v>1655.7231084245104</v>
      </c>
      <c r="G81" s="41">
        <f aca="true" t="shared" si="11" ref="G81:G91">159000/($K$27*J81)</f>
        <v>1570.9609015547883</v>
      </c>
      <c r="H81" s="41">
        <f t="shared" si="6"/>
        <v>560.1286386815974</v>
      </c>
      <c r="I81" s="41">
        <f t="shared" si="7"/>
        <v>3250.1692632020413</v>
      </c>
      <c r="J81" s="59">
        <f t="shared" si="8"/>
        <v>50.605969837516916</v>
      </c>
    </row>
    <row r="82" spans="3:10" s="4" customFormat="1" ht="12.75">
      <c r="C82" s="28"/>
      <c r="D82" s="53">
        <v>100</v>
      </c>
      <c r="E82" s="41">
        <f t="shared" si="9"/>
        <v>1960.0143028327197</v>
      </c>
      <c r="F82" s="41">
        <f t="shared" si="10"/>
        <v>1859.1913228061708</v>
      </c>
      <c r="G82" s="41">
        <f t="shared" si="11"/>
        <v>1764.0128725494478</v>
      </c>
      <c r="H82" s="41">
        <f t="shared" si="6"/>
        <v>500.994284894588</v>
      </c>
      <c r="I82" s="41">
        <f t="shared" si="7"/>
        <v>2919.660400244787</v>
      </c>
      <c r="J82" s="59">
        <f t="shared" si="8"/>
        <v>45.06769833550152</v>
      </c>
    </row>
    <row r="83" spans="3:10" s="4" customFormat="1" ht="12.75">
      <c r="C83" s="28"/>
      <c r="D83" s="53">
        <v>90</v>
      </c>
      <c r="E83" s="41">
        <f t="shared" si="9"/>
        <v>2066.121337118128</v>
      </c>
      <c r="F83" s="41">
        <f t="shared" si="10"/>
        <v>1959.8402196774935</v>
      </c>
      <c r="G83" s="41">
        <f t="shared" si="11"/>
        <v>1859.5092034063152</v>
      </c>
      <c r="H83" s="41">
        <f t="shared" si="6"/>
        <v>475.28491049825647</v>
      </c>
      <c r="I83" s="41">
        <f t="shared" si="7"/>
        <v>2769.946819892928</v>
      </c>
      <c r="J83" s="59">
        <f t="shared" si="8"/>
        <v>42.75321673824957</v>
      </c>
    </row>
    <row r="84" spans="3:10" s="4" customFormat="1" ht="12.75">
      <c r="C84" s="28"/>
      <c r="D84" s="53">
        <v>75</v>
      </c>
      <c r="E84" s="41">
        <f t="shared" si="9"/>
        <v>2255.570954837503</v>
      </c>
      <c r="F84" s="41">
        <f t="shared" si="10"/>
        <v>2139.544564111999</v>
      </c>
      <c r="G84" s="41">
        <f t="shared" si="11"/>
        <v>2030.0138593537529</v>
      </c>
      <c r="H84" s="41">
        <f t="shared" si="6"/>
        <v>433.87377786953164</v>
      </c>
      <c r="I84" s="41">
        <f t="shared" si="7"/>
        <v>2519.943803699667</v>
      </c>
      <c r="J84" s="59">
        <f t="shared" si="8"/>
        <v>39.16229420488219</v>
      </c>
    </row>
    <row r="85" spans="3:10" s="4" customFormat="1" ht="12.75">
      <c r="C85" s="28"/>
      <c r="D85" s="53">
        <v>60</v>
      </c>
      <c r="E85" s="41">
        <f t="shared" si="9"/>
        <v>2493.3318610721585</v>
      </c>
      <c r="F85" s="41">
        <f t="shared" si="10"/>
        <v>2365.0750682185953</v>
      </c>
      <c r="G85" s="41">
        <f t="shared" si="11"/>
        <v>2243.9986749649424</v>
      </c>
      <c r="H85" s="41">
        <f t="shared" si="6"/>
        <v>388.06850438836665</v>
      </c>
      <c r="I85" s="41">
        <f t="shared" si="7"/>
        <v>2228.457911430551</v>
      </c>
      <c r="J85" s="59">
        <f t="shared" si="8"/>
        <v>35.42782840602257</v>
      </c>
    </row>
    <row r="86" spans="3:10" s="4" customFormat="1" ht="12.75">
      <c r="C86" s="28" t="s">
        <v>74</v>
      </c>
      <c r="D86" s="54">
        <v>50</v>
      </c>
      <c r="E86" s="83">
        <f t="shared" si="9"/>
        <v>2686.370266680409</v>
      </c>
      <c r="F86" s="83">
        <f t="shared" si="10"/>
        <v>2548.1835935780805</v>
      </c>
      <c r="G86" s="83">
        <f t="shared" si="11"/>
        <v>2417.7332400123682</v>
      </c>
      <c r="H86" s="41">
        <f t="shared" si="6"/>
        <v>354.2564561846683</v>
      </c>
      <c r="I86" s="83">
        <f t="shared" si="7"/>
        <v>2000.824401303161</v>
      </c>
      <c r="J86" s="84">
        <f t="shared" si="8"/>
        <v>32.88203954196093</v>
      </c>
    </row>
    <row r="87" spans="3:10" s="4" customFormat="1" ht="12.75">
      <c r="C87" s="28"/>
      <c r="D87" s="53">
        <v>40</v>
      </c>
      <c r="E87" s="41">
        <f t="shared" si="9"/>
        <v>2908.3548052395745</v>
      </c>
      <c r="F87" s="41">
        <f t="shared" si="10"/>
        <v>2758.749265109079</v>
      </c>
      <c r="G87" s="41">
        <f t="shared" si="11"/>
        <v>2617.5193247156176</v>
      </c>
      <c r="H87" s="41">
        <f t="shared" si="6"/>
        <v>316.85660699883766</v>
      </c>
      <c r="I87" s="41">
        <f t="shared" si="7"/>
        <v>1732.9278347504667</v>
      </c>
      <c r="J87" s="59">
        <f t="shared" si="8"/>
        <v>30.372268601545986</v>
      </c>
    </row>
    <row r="88" spans="3:10" s="4" customFormat="1" ht="12.75">
      <c r="C88" s="28"/>
      <c r="D88" s="53">
        <v>33</v>
      </c>
      <c r="E88" s="41">
        <f t="shared" si="9"/>
        <v>3069.774936306437</v>
      </c>
      <c r="F88" s="41">
        <f t="shared" si="10"/>
        <v>2911.865957457705</v>
      </c>
      <c r="G88" s="41">
        <f t="shared" si="11"/>
        <v>2762.7974426757933</v>
      </c>
      <c r="H88" s="41">
        <f t="shared" si="6"/>
        <v>287.7993055134482</v>
      </c>
      <c r="I88" s="41">
        <f t="shared" si="7"/>
        <v>1509.0150623190245</v>
      </c>
      <c r="J88" s="59">
        <f t="shared" si="8"/>
        <v>28.775182274312357</v>
      </c>
    </row>
    <row r="89" spans="3:10" s="4" customFormat="1" ht="12.75">
      <c r="C89" s="28"/>
      <c r="D89" s="53">
        <v>25</v>
      </c>
      <c r="E89" s="41">
        <f t="shared" si="9"/>
        <v>3197.201416649586</v>
      </c>
      <c r="F89" s="41">
        <f t="shared" si="10"/>
        <v>3032.737629775258</v>
      </c>
      <c r="G89" s="41">
        <f t="shared" si="11"/>
        <v>2877.4812749846274</v>
      </c>
      <c r="H89" s="41">
        <f t="shared" si="6"/>
        <v>250.497142447294</v>
      </c>
      <c r="I89" s="41">
        <f t="shared" si="7"/>
        <v>1190.6472256742275</v>
      </c>
      <c r="J89" s="59">
        <f t="shared" si="8"/>
        <v>27.628329223593198</v>
      </c>
    </row>
    <row r="90" spans="3:10" s="4" customFormat="1" ht="12.75">
      <c r="C90" s="28"/>
      <c r="D90" s="53">
        <v>20</v>
      </c>
      <c r="E90" s="41">
        <f t="shared" si="9"/>
        <v>3118.012227412778</v>
      </c>
      <c r="F90" s="41">
        <f t="shared" si="10"/>
        <v>2957.6219261416936</v>
      </c>
      <c r="G90" s="41">
        <f t="shared" si="11"/>
        <v>2806.2110046715</v>
      </c>
      <c r="H90" s="41">
        <f t="shared" si="6"/>
        <v>224.051455472639</v>
      </c>
      <c r="I90" s="41">
        <f t="shared" si="7"/>
        <v>928.9255506655438</v>
      </c>
      <c r="J90" s="59">
        <f t="shared" si="8"/>
        <v>28.33001505148983</v>
      </c>
    </row>
    <row r="91" spans="3:10" s="4" customFormat="1" ht="12.75">
      <c r="C91" s="56"/>
      <c r="D91" s="53">
        <v>17</v>
      </c>
      <c r="E91" s="41">
        <f t="shared" si="9"/>
        <v>2859.484947973506</v>
      </c>
      <c r="F91" s="41">
        <f t="shared" si="10"/>
        <v>2712.3932694183645</v>
      </c>
      <c r="G91" s="41">
        <f t="shared" si="11"/>
        <v>2573.5364531761556</v>
      </c>
      <c r="H91" s="41">
        <f t="shared" si="6"/>
        <v>206.5652354451173</v>
      </c>
      <c r="I91" s="41">
        <f t="shared" si="7"/>
        <v>724.1188201824856</v>
      </c>
      <c r="J91" s="59">
        <f t="shared" si="8"/>
        <v>30.89134404989068</v>
      </c>
    </row>
    <row r="92" spans="2:10" s="4" customFormat="1" ht="12.75">
      <c r="B92" s="48"/>
      <c r="C92" s="20"/>
      <c r="D92" s="52" t="s">
        <v>75</v>
      </c>
      <c r="E92" s="52" t="s">
        <v>7</v>
      </c>
      <c r="F92" s="52" t="s">
        <v>14</v>
      </c>
      <c r="G92" s="52" t="s">
        <v>8</v>
      </c>
      <c r="H92" s="52" t="s">
        <v>20</v>
      </c>
      <c r="I92" s="85" t="s">
        <v>67</v>
      </c>
      <c r="J92" s="52" t="s">
        <v>69</v>
      </c>
    </row>
    <row r="93" spans="3:10" s="4" customFormat="1" ht="12.75">
      <c r="C93" s="57"/>
      <c r="D93" s="53">
        <v>150</v>
      </c>
      <c r="E93" s="59">
        <f>J93/(2*3.1416*$K$26)</f>
        <v>23.039929562041415</v>
      </c>
      <c r="F93" s="59">
        <f>J93/(2*3.1416*(($K$26+$K$27)/2))</f>
        <v>21.827301690355025</v>
      </c>
      <c r="G93" s="59">
        <f>J93/(2*3.1416*$K$27)</f>
        <v>20.735936605837274</v>
      </c>
      <c r="H93" s="59">
        <f aca="true" t="shared" si="12" ref="H93:H104">SQRT($C$55*$K$21/J93)</f>
        <v>8.488929114865238</v>
      </c>
      <c r="I93" s="107">
        <f aca="true" t="shared" si="13" ref="I93:I104">SQRT(($C$53*$C$54/D93)-1)</f>
        <v>3.706962010088931</v>
      </c>
      <c r="J93" s="59">
        <f aca="true" t="shared" si="14" ref="J93:J104">D93*J80*J80*$K$21/($C$54*((D93*D93)+(J80*J80)))</f>
        <v>260.5760737635935</v>
      </c>
    </row>
    <row r="94" spans="3:10" s="4" customFormat="1" ht="12.75">
      <c r="C94" s="28"/>
      <c r="D94" s="53">
        <v>125</v>
      </c>
      <c r="E94" s="59">
        <f aca="true" t="shared" si="15" ref="E94:E104">J94/(2*3.1416*$K$26)</f>
        <v>22.21091393453628</v>
      </c>
      <c r="F94" s="59">
        <f aca="true" t="shared" si="16" ref="F94:F104">J94/(2*3.1416*(($K$26+$K$27)/2))</f>
        <v>21.04191846429753</v>
      </c>
      <c r="G94" s="59">
        <f aca="true" t="shared" si="17" ref="G94:G104">J94/(2*3.1416*$K$27)</f>
        <v>19.989822541082653</v>
      </c>
      <c r="H94" s="59">
        <f t="shared" si="12"/>
        <v>8.645901152391357</v>
      </c>
      <c r="I94" s="107">
        <f t="shared" si="13"/>
        <v>4.085325055988945</v>
      </c>
      <c r="J94" s="59">
        <f t="shared" si="14"/>
        <v>251.20010598026104</v>
      </c>
    </row>
    <row r="95" spans="3:10" s="4" customFormat="1" ht="12.75">
      <c r="C95" s="28"/>
      <c r="D95" s="53">
        <v>100</v>
      </c>
      <c r="E95" s="59">
        <f t="shared" si="15"/>
        <v>21.30172415276224</v>
      </c>
      <c r="F95" s="59">
        <f t="shared" si="16"/>
        <v>20.180580776301074</v>
      </c>
      <c r="G95" s="59">
        <f t="shared" si="17"/>
        <v>19.17155173748602</v>
      </c>
      <c r="H95" s="59">
        <f t="shared" si="12"/>
        <v>8.82848335164692</v>
      </c>
      <c r="I95" s="107">
        <f t="shared" si="13"/>
        <v>4.594817843654289</v>
      </c>
      <c r="J95" s="59">
        <f t="shared" si="14"/>
        <v>240.9173877539443</v>
      </c>
    </row>
    <row r="96" spans="3:10" s="4" customFormat="1" ht="12.75">
      <c r="C96" s="28"/>
      <c r="D96" s="53">
        <v>90</v>
      </c>
      <c r="E96" s="59">
        <f t="shared" si="15"/>
        <v>20.90810553995968</v>
      </c>
      <c r="F96" s="59">
        <f t="shared" si="16"/>
        <v>19.807678932593387</v>
      </c>
      <c r="G96" s="59">
        <f t="shared" si="17"/>
        <v>18.817294985963716</v>
      </c>
      <c r="H96" s="59">
        <f t="shared" si="12"/>
        <v>8.911198929907547</v>
      </c>
      <c r="I96" s="107">
        <f t="shared" si="13"/>
        <v>4.854820172475078</v>
      </c>
      <c r="J96" s="59">
        <f t="shared" si="14"/>
        <v>236.46565571161443</v>
      </c>
    </row>
    <row r="97" spans="3:10" s="4" customFormat="1" ht="12.75">
      <c r="C97" s="28"/>
      <c r="D97" s="53">
        <v>75</v>
      </c>
      <c r="E97" s="59">
        <f t="shared" si="15"/>
        <v>20.27465569033562</v>
      </c>
      <c r="F97" s="59">
        <f t="shared" si="16"/>
        <v>19.207568548739008</v>
      </c>
      <c r="G97" s="59">
        <f t="shared" si="17"/>
        <v>18.247190121302058</v>
      </c>
      <c r="H97" s="59">
        <f t="shared" si="12"/>
        <v>9.049336479656658</v>
      </c>
      <c r="I97" s="107">
        <f t="shared" si="13"/>
        <v>5.33695931111388</v>
      </c>
      <c r="J97" s="59">
        <f t="shared" si="14"/>
        <v>229.30148994033019</v>
      </c>
    </row>
    <row r="98" spans="3:10" s="4" customFormat="1" ht="12.75">
      <c r="C98" s="28"/>
      <c r="D98" s="53">
        <v>60</v>
      </c>
      <c r="E98" s="59">
        <f t="shared" si="15"/>
        <v>19.5717024151841</v>
      </c>
      <c r="F98" s="59">
        <f t="shared" si="16"/>
        <v>18.541612814384937</v>
      </c>
      <c r="G98" s="59">
        <f t="shared" si="17"/>
        <v>17.61453217366569</v>
      </c>
      <c r="H98" s="59">
        <f t="shared" si="12"/>
        <v>9.210414571545966</v>
      </c>
      <c r="I98" s="107">
        <f t="shared" si="13"/>
        <v>5.987814155483319</v>
      </c>
      <c r="J98" s="59">
        <f t="shared" si="14"/>
        <v>221.35125710715252</v>
      </c>
    </row>
    <row r="99" spans="3:10" s="4" customFormat="1" ht="12.75">
      <c r="C99" s="28" t="s">
        <v>11</v>
      </c>
      <c r="D99" s="54">
        <v>50</v>
      </c>
      <c r="E99" s="84">
        <f t="shared" si="15"/>
        <v>19.047794937079797</v>
      </c>
      <c r="F99" s="84">
        <f t="shared" si="16"/>
        <v>18.0452794140756</v>
      </c>
      <c r="G99" s="84">
        <f t="shared" si="17"/>
        <v>17.14301544337182</v>
      </c>
      <c r="H99" s="84">
        <f t="shared" si="12"/>
        <v>9.336221079504426</v>
      </c>
      <c r="I99" s="107">
        <f t="shared" si="13"/>
        <v>6.574549568809083</v>
      </c>
      <c r="J99" s="84">
        <f t="shared" si="14"/>
        <v>215.42598926758762</v>
      </c>
    </row>
    <row r="100" spans="3:10" s="4" customFormat="1" ht="12.75">
      <c r="C100" s="28"/>
      <c r="D100" s="53">
        <v>40</v>
      </c>
      <c r="E100" s="59">
        <f t="shared" si="15"/>
        <v>18.457670094324875</v>
      </c>
      <c r="F100" s="59">
        <f t="shared" si="16"/>
        <v>17.486213773570938</v>
      </c>
      <c r="G100" s="59">
        <f t="shared" si="17"/>
        <v>16.61190308489239</v>
      </c>
      <c r="H100" s="59">
        <f t="shared" si="12"/>
        <v>9.484294719029212</v>
      </c>
      <c r="I100" s="107">
        <f t="shared" si="13"/>
        <v>7.3675557372109255</v>
      </c>
      <c r="J100" s="59">
        <f t="shared" si="14"/>
        <v>208.75181892599173</v>
      </c>
    </row>
    <row r="101" spans="3:10" s="4" customFormat="1" ht="12.75">
      <c r="C101" s="28"/>
      <c r="D101" s="53">
        <v>33</v>
      </c>
      <c r="E101" s="59">
        <f t="shared" si="15"/>
        <v>17.985177098306465</v>
      </c>
      <c r="F101" s="59">
        <f t="shared" si="16"/>
        <v>17.03858882997455</v>
      </c>
      <c r="G101" s="59">
        <f t="shared" si="17"/>
        <v>16.18665938847582</v>
      </c>
      <c r="H101" s="59">
        <f t="shared" si="12"/>
        <v>9.60806917755682</v>
      </c>
      <c r="I101" s="107">
        <f t="shared" si="13"/>
        <v>8.124476862667015</v>
      </c>
      <c r="J101" s="59">
        <f t="shared" si="14"/>
        <v>203.40803653934256</v>
      </c>
    </row>
    <row r="102" spans="3:10" s="4" customFormat="1" ht="12.75">
      <c r="C102" s="28"/>
      <c r="D102" s="53">
        <v>25</v>
      </c>
      <c r="E102" s="59">
        <f t="shared" si="15"/>
        <v>17.343928929166772</v>
      </c>
      <c r="F102" s="59">
        <f t="shared" si="16"/>
        <v>16.431090564473784</v>
      </c>
      <c r="G102" s="59">
        <f t="shared" si="17"/>
        <v>15.609536036250097</v>
      </c>
      <c r="H102" s="59">
        <f t="shared" si="12"/>
        <v>9.784074208469644</v>
      </c>
      <c r="I102" s="107">
        <f t="shared" si="13"/>
        <v>9.351438609404191</v>
      </c>
      <c r="J102" s="59">
        <f t="shared" si="14"/>
        <v>196.1556736459332</v>
      </c>
    </row>
    <row r="103" spans="3:10" s="4" customFormat="1" ht="12.75">
      <c r="C103" s="28"/>
      <c r="D103" s="53">
        <v>20</v>
      </c>
      <c r="E103" s="59">
        <f t="shared" si="15"/>
        <v>16.842065433526997</v>
      </c>
      <c r="F103" s="59">
        <f t="shared" si="16"/>
        <v>15.95564093702558</v>
      </c>
      <c r="G103" s="59">
        <f t="shared" si="17"/>
        <v>15.1578588901743</v>
      </c>
      <c r="H103" s="59">
        <f t="shared" si="12"/>
        <v>9.928778117880883</v>
      </c>
      <c r="I103" s="107">
        <f t="shared" si="13"/>
        <v>10.467175124254837</v>
      </c>
      <c r="J103" s="59">
        <f t="shared" si="14"/>
        <v>190.47971795748632</v>
      </c>
    </row>
    <row r="104" spans="3:10" s="4" customFormat="1" ht="12.75">
      <c r="C104" s="56"/>
      <c r="D104" s="53">
        <v>17</v>
      </c>
      <c r="E104" s="59">
        <f t="shared" si="15"/>
        <v>16.464347524237432</v>
      </c>
      <c r="F104" s="59">
        <f t="shared" si="16"/>
        <v>15.59780291769862</v>
      </c>
      <c r="G104" s="59">
        <f t="shared" si="17"/>
        <v>14.817912771813688</v>
      </c>
      <c r="H104" s="59">
        <f t="shared" si="12"/>
        <v>10.042023153721672</v>
      </c>
      <c r="I104" s="107">
        <f t="shared" si="13"/>
        <v>11.36101461302794</v>
      </c>
      <c r="J104" s="59">
        <f t="shared" si="14"/>
        <v>186.20781905571954</v>
      </c>
    </row>
    <row r="105" spans="2:9" s="4" customFormat="1" ht="12.75">
      <c r="B105" s="9"/>
      <c r="C105" s="32"/>
      <c r="D105" s="9"/>
      <c r="E105" s="9"/>
      <c r="F105" s="9"/>
      <c r="G105" s="9"/>
      <c r="H105" s="9"/>
      <c r="I105" s="58"/>
    </row>
    <row r="106" spans="2:9" s="4" customFormat="1" ht="12.75">
      <c r="B106" s="9"/>
      <c r="C106" s="32"/>
      <c r="D106" s="9"/>
      <c r="E106" s="9"/>
      <c r="F106" s="9"/>
      <c r="G106" s="9"/>
      <c r="H106" s="9"/>
      <c r="I106" s="58"/>
    </row>
    <row r="107" spans="2:11" s="4" customFormat="1" ht="12.75">
      <c r="B107" s="110" t="s">
        <v>147</v>
      </c>
      <c r="C107" s="32"/>
      <c r="D107" s="9"/>
      <c r="E107" s="9"/>
      <c r="F107" s="9"/>
      <c r="G107" s="9"/>
      <c r="H107" s="9"/>
      <c r="I107" s="58"/>
      <c r="J107" s="7"/>
      <c r="K107" s="7"/>
    </row>
    <row r="108" spans="2:11" s="4" customFormat="1" ht="12.75">
      <c r="B108" s="81" t="s">
        <v>148</v>
      </c>
      <c r="C108" s="32"/>
      <c r="D108" s="9"/>
      <c r="E108" s="9"/>
      <c r="F108" s="9"/>
      <c r="G108" s="9"/>
      <c r="H108" s="9"/>
      <c r="I108" s="58"/>
      <c r="J108" s="7"/>
      <c r="K108" s="7"/>
    </row>
    <row r="109" spans="2:11" s="4" customFormat="1" ht="12.75">
      <c r="B109" s="9"/>
      <c r="C109" s="32"/>
      <c r="D109" s="9"/>
      <c r="E109" s="9"/>
      <c r="F109" s="9"/>
      <c r="G109" s="9"/>
      <c r="H109" s="9"/>
      <c r="I109" s="58"/>
      <c r="J109" s="7"/>
      <c r="K109" s="7"/>
    </row>
    <row r="110" spans="2:11" s="4" customFormat="1" ht="12.75">
      <c r="B110" s="81" t="s">
        <v>102</v>
      </c>
      <c r="C110" s="45"/>
      <c r="D110" s="32"/>
      <c r="E110" s="7"/>
      <c r="F110" s="7"/>
      <c r="G110" s="7"/>
      <c r="H110" s="7"/>
      <c r="I110" s="7"/>
      <c r="J110" s="7"/>
      <c r="K110" s="7"/>
    </row>
    <row r="111" spans="2:11" s="4" customFormat="1" ht="12.75">
      <c r="B111" s="81" t="s">
        <v>103</v>
      </c>
      <c r="C111" s="45"/>
      <c r="D111" s="32"/>
      <c r="E111" s="7"/>
      <c r="F111" s="7"/>
      <c r="G111" s="7"/>
      <c r="H111" s="7"/>
      <c r="I111" s="7"/>
      <c r="J111" s="7"/>
      <c r="K111" s="7"/>
    </row>
    <row r="112" spans="2:11" s="4" customFormat="1" ht="12.75"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2:11" s="4" customFormat="1" ht="12.75">
      <c r="B113" s="7" t="s">
        <v>159</v>
      </c>
      <c r="C113" s="7"/>
      <c r="D113" s="7"/>
      <c r="E113" s="7"/>
      <c r="F113" s="7"/>
      <c r="G113" s="7"/>
      <c r="H113" s="7"/>
      <c r="I113" s="7"/>
      <c r="J113" s="7"/>
      <c r="K113" s="7"/>
    </row>
    <row r="114" spans="2:11" s="4" customFormat="1" ht="12.75">
      <c r="B114" s="7" t="s">
        <v>146</v>
      </c>
      <c r="C114" s="7"/>
      <c r="D114" s="7"/>
      <c r="E114" s="7"/>
      <c r="F114" s="7"/>
      <c r="G114" s="7"/>
      <c r="H114" s="7"/>
      <c r="I114" s="7"/>
      <c r="J114" s="7"/>
      <c r="K114" s="7"/>
    </row>
    <row r="115" spans="2:11" s="4" customFormat="1" ht="12.75"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2:11" s="4" customFormat="1" ht="12.75">
      <c r="B116" s="7" t="s">
        <v>168</v>
      </c>
      <c r="C116" s="7"/>
      <c r="D116" s="7"/>
      <c r="E116" s="7"/>
      <c r="F116" s="7"/>
      <c r="G116" s="7"/>
      <c r="H116" s="7"/>
      <c r="I116" s="7"/>
      <c r="J116" s="7"/>
      <c r="K116" s="7"/>
    </row>
    <row r="117" spans="2:11" s="4" customFormat="1" ht="15" customHeight="1">
      <c r="B117" s="7" t="s">
        <v>167</v>
      </c>
      <c r="C117" s="7"/>
      <c r="D117" s="7"/>
      <c r="E117" s="7"/>
      <c r="F117" s="7"/>
      <c r="G117" s="7"/>
      <c r="H117" s="7"/>
      <c r="I117" s="7"/>
      <c r="J117" s="7"/>
      <c r="K117" s="7"/>
    </row>
    <row r="118" spans="2:11" s="4" customFormat="1" ht="12.75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2:11" s="4" customFormat="1" ht="12.75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2:11" s="4" customFormat="1" ht="12.75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="4" customFormat="1" ht="12.75"/>
    <row r="122" s="4" customFormat="1" ht="12.75">
      <c r="F122" s="51" t="s">
        <v>151</v>
      </c>
    </row>
    <row r="123" spans="1:2" s="4" customFormat="1" ht="12.75">
      <c r="A123" s="51" t="s">
        <v>66</v>
      </c>
      <c r="B123" s="51"/>
    </row>
    <row r="124" s="4" customFormat="1" ht="12.75">
      <c r="A124" s="51" t="s">
        <v>153</v>
      </c>
    </row>
    <row r="125" s="4" customFormat="1" ht="12.75">
      <c r="A125" s="51" t="s">
        <v>154</v>
      </c>
    </row>
    <row r="126" s="4" customFormat="1" ht="12.75"/>
    <row r="127" spans="3:10" s="4" customFormat="1" ht="12.75">
      <c r="C127" s="20"/>
      <c r="D127" s="52" t="s">
        <v>75</v>
      </c>
      <c r="E127" s="52" t="s">
        <v>7</v>
      </c>
      <c r="F127" s="52" t="s">
        <v>14</v>
      </c>
      <c r="G127" s="52" t="s">
        <v>8</v>
      </c>
      <c r="H127" s="52" t="s">
        <v>68</v>
      </c>
      <c r="I127" s="52" t="s">
        <v>72</v>
      </c>
      <c r="J127" s="52" t="s">
        <v>71</v>
      </c>
    </row>
    <row r="128" spans="3:10" s="4" customFormat="1" ht="12.75">
      <c r="C128" s="28"/>
      <c r="D128" s="53">
        <v>150</v>
      </c>
      <c r="E128" s="111">
        <f>159000/($K$26*J128)</f>
        <v>403.2993366590726</v>
      </c>
      <c r="F128" s="111">
        <f>159200/((($K$26+$K$27)/2)*J128)</f>
        <v>382.5536508209992</v>
      </c>
      <c r="G128" s="111">
        <f>159000/($K$27*J128)</f>
        <v>362.9694029931654</v>
      </c>
      <c r="H128" s="112">
        <f aca="true" t="shared" si="18" ref="H128:H138">1.42*SQRT(I128*J128)</f>
        <v>2560.4336546764885</v>
      </c>
      <c r="I128" s="112">
        <f aca="true" t="shared" si="19" ref="I128:I139">$C$55*$C$53/J128</f>
        <v>14844.078886560112</v>
      </c>
      <c r="J128" s="113">
        <f aca="true" t="shared" si="20" ref="J128:J139">($C$53*J141)/(($K$21*J141)-(D128*$C$54))</f>
        <v>219.0267260667615</v>
      </c>
    </row>
    <row r="129" spans="3:10" s="4" customFormat="1" ht="12.75">
      <c r="C129" s="28"/>
      <c r="D129" s="53">
        <v>125</v>
      </c>
      <c r="E129" s="111">
        <f aca="true" t="shared" si="21" ref="E129:E139">159000/($K$26*J129)</f>
        <v>413.70870594574825</v>
      </c>
      <c r="F129" s="111">
        <f aca="true" t="shared" si="22" ref="F129:F139">159200/((($K$26+$K$27)/2)*J129)</f>
        <v>392.42756297852907</v>
      </c>
      <c r="G129" s="111">
        <f aca="true" t="shared" si="23" ref="G129:G139">159000/($K$27*J129)</f>
        <v>372.33783535117345</v>
      </c>
      <c r="H129" s="112">
        <f t="shared" si="18"/>
        <v>2560.4336546764885</v>
      </c>
      <c r="I129" s="112">
        <f t="shared" si="19"/>
        <v>15227.212417427707</v>
      </c>
      <c r="J129" s="113">
        <f t="shared" si="20"/>
        <v>213.51577103363383</v>
      </c>
    </row>
    <row r="130" spans="3:10" s="4" customFormat="1" ht="12.75">
      <c r="C130" s="28"/>
      <c r="D130" s="53">
        <v>100</v>
      </c>
      <c r="E130" s="111">
        <f t="shared" si="21"/>
        <v>425.3866119638628</v>
      </c>
      <c r="F130" s="111">
        <f t="shared" si="22"/>
        <v>403.5047584388101</v>
      </c>
      <c r="G130" s="111">
        <f t="shared" si="23"/>
        <v>382.8479507674765</v>
      </c>
      <c r="H130" s="112">
        <f t="shared" si="18"/>
        <v>2560.4336546764885</v>
      </c>
      <c r="I130" s="112">
        <f t="shared" si="19"/>
        <v>15657.03647714161</v>
      </c>
      <c r="J130" s="113">
        <f t="shared" si="20"/>
        <v>207.65423934131096</v>
      </c>
    </row>
    <row r="131" spans="3:10" s="4" customFormat="1" ht="12.75">
      <c r="C131" s="28"/>
      <c r="D131" s="53">
        <v>90</v>
      </c>
      <c r="E131" s="111">
        <f t="shared" si="21"/>
        <v>430.53584156047975</v>
      </c>
      <c r="F131" s="111">
        <f t="shared" si="22"/>
        <v>408.3891120740519</v>
      </c>
      <c r="G131" s="111">
        <f t="shared" si="23"/>
        <v>387.4822574044318</v>
      </c>
      <c r="H131" s="112">
        <f t="shared" si="18"/>
        <v>2560.4336546764885</v>
      </c>
      <c r="I131" s="112">
        <f t="shared" si="19"/>
        <v>15846.562130643508</v>
      </c>
      <c r="J131" s="113">
        <f t="shared" si="20"/>
        <v>205.1706845431698</v>
      </c>
    </row>
    <row r="132" spans="3:10" s="4" customFormat="1" ht="12.75">
      <c r="C132" s="28"/>
      <c r="D132" s="53">
        <v>75</v>
      </c>
      <c r="E132" s="111">
        <f t="shared" si="21"/>
        <v>438.9543898045551</v>
      </c>
      <c r="F132" s="111">
        <f t="shared" si="22"/>
        <v>416.3746108652543</v>
      </c>
      <c r="G132" s="111">
        <f t="shared" si="23"/>
        <v>395.0589508240996</v>
      </c>
      <c r="H132" s="112">
        <f t="shared" si="18"/>
        <v>2560.4336546764885</v>
      </c>
      <c r="I132" s="112">
        <f t="shared" si="19"/>
        <v>16156.420300211998</v>
      </c>
      <c r="J132" s="113">
        <f t="shared" si="20"/>
        <v>201.2357898337999</v>
      </c>
    </row>
    <row r="133" spans="3:10" s="4" customFormat="1" ht="12.75">
      <c r="C133" s="28"/>
      <c r="D133" s="53">
        <v>60</v>
      </c>
      <c r="E133" s="111">
        <f t="shared" si="21"/>
        <v>448.511859869171</v>
      </c>
      <c r="F133" s="111">
        <f t="shared" si="22"/>
        <v>425.440445429029</v>
      </c>
      <c r="G133" s="111">
        <f t="shared" si="23"/>
        <v>403.66067388225395</v>
      </c>
      <c r="H133" s="112">
        <f t="shared" si="18"/>
        <v>2560.4336546764885</v>
      </c>
      <c r="I133" s="112">
        <f t="shared" si="19"/>
        <v>16508.198313958215</v>
      </c>
      <c r="J133" s="113">
        <f t="shared" si="20"/>
        <v>196.94759768247775</v>
      </c>
    </row>
    <row r="134" spans="3:10" s="4" customFormat="1" ht="12.75">
      <c r="C134" s="28" t="s">
        <v>73</v>
      </c>
      <c r="D134" s="54">
        <v>50</v>
      </c>
      <c r="E134" s="114">
        <f t="shared" si="21"/>
        <v>455.8091595847463</v>
      </c>
      <c r="F134" s="114">
        <f t="shared" si="22"/>
        <v>432.3623726269609</v>
      </c>
      <c r="G134" s="114">
        <f t="shared" si="23"/>
        <v>410.22824362627165</v>
      </c>
      <c r="H134" s="112">
        <f t="shared" si="18"/>
        <v>2560.4336546764885</v>
      </c>
      <c r="I134" s="115">
        <f t="shared" si="19"/>
        <v>16776.787133206486</v>
      </c>
      <c r="J134" s="116">
        <f t="shared" si="20"/>
        <v>193.79455519017486</v>
      </c>
    </row>
    <row r="135" spans="3:10" s="4" customFormat="1" ht="12.75">
      <c r="C135" s="28"/>
      <c r="D135" s="53">
        <v>40</v>
      </c>
      <c r="E135" s="111">
        <f t="shared" si="21"/>
        <v>464.2518678962881</v>
      </c>
      <c r="F135" s="111">
        <f t="shared" si="22"/>
        <v>440.37078869367866</v>
      </c>
      <c r="G135" s="111">
        <f t="shared" si="23"/>
        <v>417.8266811066593</v>
      </c>
      <c r="H135" s="112">
        <f t="shared" si="18"/>
        <v>2560.4336546764885</v>
      </c>
      <c r="I135" s="112">
        <f t="shared" si="19"/>
        <v>17087.53455280536</v>
      </c>
      <c r="J135" s="113">
        <f t="shared" si="20"/>
        <v>190.27028094384883</v>
      </c>
    </row>
    <row r="136" spans="3:10" s="4" customFormat="1" ht="12.75">
      <c r="C136" s="28"/>
      <c r="D136" s="53">
        <v>33</v>
      </c>
      <c r="E136" s="111">
        <f t="shared" si="21"/>
        <v>471.23626415807513</v>
      </c>
      <c r="F136" s="111">
        <f t="shared" si="22"/>
        <v>446.99590816662703</v>
      </c>
      <c r="G136" s="111">
        <f t="shared" si="23"/>
        <v>424.1126377422677</v>
      </c>
      <c r="H136" s="112">
        <f t="shared" si="18"/>
        <v>2560.433654676489</v>
      </c>
      <c r="I136" s="112">
        <f t="shared" si="19"/>
        <v>17344.606458610666</v>
      </c>
      <c r="J136" s="113">
        <f t="shared" si="20"/>
        <v>187.45020290650234</v>
      </c>
    </row>
    <row r="137" spans="3:10" s="4" customFormat="1" ht="12.75">
      <c r="C137" s="28"/>
      <c r="D137" s="53">
        <v>25</v>
      </c>
      <c r="E137" s="111">
        <f t="shared" si="21"/>
        <v>481.21257385510603</v>
      </c>
      <c r="F137" s="111">
        <f t="shared" si="22"/>
        <v>456.4590372853996</v>
      </c>
      <c r="G137" s="111">
        <f t="shared" si="23"/>
        <v>433.0913164695955</v>
      </c>
      <c r="H137" s="112">
        <f t="shared" si="18"/>
        <v>2560.4336546764885</v>
      </c>
      <c r="I137" s="112">
        <f t="shared" si="19"/>
        <v>17711.800536751853</v>
      </c>
      <c r="J137" s="113">
        <f t="shared" si="20"/>
        <v>183.5640590720114</v>
      </c>
    </row>
    <row r="138" spans="3:10" s="4" customFormat="1" ht="12.75">
      <c r="C138" s="28"/>
      <c r="D138" s="55">
        <v>20</v>
      </c>
      <c r="E138" s="111">
        <f t="shared" si="21"/>
        <v>489.79314374602916</v>
      </c>
      <c r="F138" s="111">
        <f t="shared" si="22"/>
        <v>464.59822334280744</v>
      </c>
      <c r="G138" s="111">
        <f t="shared" si="23"/>
        <v>440.8138293714262</v>
      </c>
      <c r="H138" s="112">
        <f t="shared" si="18"/>
        <v>2560.433654676489</v>
      </c>
      <c r="I138" s="112">
        <f t="shared" si="19"/>
        <v>18027.62217287861</v>
      </c>
      <c r="J138" s="113">
        <f t="shared" si="20"/>
        <v>180.34824386830644</v>
      </c>
    </row>
    <row r="139" spans="3:10" s="4" customFormat="1" ht="12.75">
      <c r="C139" s="56"/>
      <c r="D139" s="53">
        <v>17</v>
      </c>
      <c r="E139" s="111">
        <f t="shared" si="21"/>
        <v>497.4725728017775</v>
      </c>
      <c r="F139" s="111">
        <f t="shared" si="22"/>
        <v>471.88262317801184</v>
      </c>
      <c r="G139" s="111">
        <f t="shared" si="23"/>
        <v>447.7253155215997</v>
      </c>
      <c r="H139" s="112">
        <f>1.42*SQRT(I139*J139)</f>
        <v>2560.4336546764885</v>
      </c>
      <c r="I139" s="112">
        <f t="shared" si="19"/>
        <v>18310.275875340896</v>
      </c>
      <c r="J139" s="113">
        <f t="shared" si="20"/>
        <v>177.56422798514876</v>
      </c>
    </row>
    <row r="140" spans="2:10" s="4" customFormat="1" ht="12.75">
      <c r="B140" s="48"/>
      <c r="C140" s="20"/>
      <c r="D140" s="52" t="s">
        <v>75</v>
      </c>
      <c r="E140" s="52" t="s">
        <v>7</v>
      </c>
      <c r="F140" s="52" t="s">
        <v>14</v>
      </c>
      <c r="G140" s="52" t="s">
        <v>8</v>
      </c>
      <c r="H140" s="52" t="s">
        <v>68</v>
      </c>
      <c r="I140" s="52" t="s">
        <v>72</v>
      </c>
      <c r="J140" s="52" t="s">
        <v>70</v>
      </c>
    </row>
    <row r="141" spans="3:10" s="4" customFormat="1" ht="12.75">
      <c r="C141" s="57"/>
      <c r="D141" s="53">
        <v>150</v>
      </c>
      <c r="E141" s="112">
        <f>159000/($K$26*J141)</f>
        <v>1760.4285416194652</v>
      </c>
      <c r="F141" s="112">
        <f>159200/((($K$26+$K$27)/2)*J141)</f>
        <v>1669.8722372938562</v>
      </c>
      <c r="G141" s="112">
        <f>159000/($K$27*J141)</f>
        <v>1584.3856874575188</v>
      </c>
      <c r="H141" s="112">
        <f aca="true" t="shared" si="24" ref="H141:H152">1.42*SQRT(I141*J141*$C$54)</f>
        <v>613.5901810211433</v>
      </c>
      <c r="I141" s="112">
        <f aca="true" t="shared" si="25" ref="I141:I152">$C$55*D141*$C$54/J141</f>
        <v>3933.532647949535</v>
      </c>
      <c r="J141" s="113">
        <f aca="true" t="shared" si="26" ref="J141:J152">SQRT((D141*D141*$C$54*J154)/((D141*$K$21)-(J154*$C$54)))</f>
        <v>50.1771763209844</v>
      </c>
    </row>
    <row r="142" spans="3:10" s="4" customFormat="1" ht="12.75">
      <c r="C142" s="28"/>
      <c r="D142" s="53">
        <v>125</v>
      </c>
      <c r="E142" s="112">
        <f aca="true" t="shared" si="27" ref="E142:E152">159000/($K$26*J142)</f>
        <v>1906.7513604422827</v>
      </c>
      <c r="F142" s="112">
        <f aca="true" t="shared" si="28" ref="F142:F152">159200/((($K$26+$K$27)/2)*J142)</f>
        <v>1808.6682219408822</v>
      </c>
      <c r="G142" s="112">
        <f aca="true" t="shared" si="29" ref="G142:G152">159000/($K$27*J142)</f>
        <v>1716.0762243980544</v>
      </c>
      <c r="H142" s="112">
        <f t="shared" si="24"/>
        <v>560.1286386815974</v>
      </c>
      <c r="I142" s="112">
        <f t="shared" si="25"/>
        <v>3550.3991170819377</v>
      </c>
      <c r="J142" s="113">
        <f t="shared" si="26"/>
        <v>46.32661350919077</v>
      </c>
    </row>
    <row r="143" spans="3:10" s="4" customFormat="1" ht="12.75">
      <c r="C143" s="28"/>
      <c r="D143" s="53">
        <v>100</v>
      </c>
      <c r="E143" s="112">
        <f t="shared" si="27"/>
        <v>2094.8914966246016</v>
      </c>
      <c r="F143" s="112">
        <f t="shared" si="28"/>
        <v>1987.1304444645677</v>
      </c>
      <c r="G143" s="112">
        <f t="shared" si="29"/>
        <v>1885.4023469621416</v>
      </c>
      <c r="H143" s="112">
        <f t="shared" si="24"/>
        <v>500.994284894588</v>
      </c>
      <c r="I143" s="112">
        <f t="shared" si="25"/>
        <v>3120.575057368036</v>
      </c>
      <c r="J143" s="113">
        <f t="shared" si="26"/>
        <v>42.16606610684162</v>
      </c>
    </row>
    <row r="144" spans="3:10" s="4" customFormat="1" ht="12.75">
      <c r="C144" s="28"/>
      <c r="D144" s="53">
        <v>90</v>
      </c>
      <c r="E144" s="112">
        <f t="shared" si="27"/>
        <v>2186.2888016417905</v>
      </c>
      <c r="F144" s="112">
        <f t="shared" si="28"/>
        <v>2073.8262793726303</v>
      </c>
      <c r="G144" s="112">
        <f t="shared" si="29"/>
        <v>1967.6599214776115</v>
      </c>
      <c r="H144" s="112">
        <f t="shared" si="24"/>
        <v>475.28491049825647</v>
      </c>
      <c r="I144" s="112">
        <f t="shared" si="25"/>
        <v>2931.0494038661386</v>
      </c>
      <c r="J144" s="113">
        <f t="shared" si="26"/>
        <v>40.4033233244389</v>
      </c>
    </row>
    <row r="145" spans="3:10" s="4" customFormat="1" ht="12.75">
      <c r="C145" s="28"/>
      <c r="D145" s="53">
        <v>75</v>
      </c>
      <c r="E145" s="112">
        <f t="shared" si="27"/>
        <v>2346.196294725421</v>
      </c>
      <c r="F145" s="112">
        <f t="shared" si="28"/>
        <v>2225.508143715712</v>
      </c>
      <c r="G145" s="112">
        <f t="shared" si="29"/>
        <v>2111.5766652528787</v>
      </c>
      <c r="H145" s="112">
        <f t="shared" si="24"/>
        <v>433.87377786953164</v>
      </c>
      <c r="I145" s="112">
        <f t="shared" si="25"/>
        <v>2621.1912342976493</v>
      </c>
      <c r="J145" s="113">
        <f t="shared" si="26"/>
        <v>37.649592036232896</v>
      </c>
    </row>
    <row r="146" spans="3:10" s="4" customFormat="1" ht="12.75">
      <c r="C146" s="28"/>
      <c r="D146" s="53">
        <v>60</v>
      </c>
      <c r="E146" s="112">
        <f t="shared" si="27"/>
        <v>2539.155107985357</v>
      </c>
      <c r="F146" s="112">
        <f t="shared" si="28"/>
        <v>2408.5411709509567</v>
      </c>
      <c r="G146" s="112">
        <f t="shared" si="29"/>
        <v>2285.2395971868214</v>
      </c>
      <c r="H146" s="112">
        <f t="shared" si="24"/>
        <v>388.06850438836665</v>
      </c>
      <c r="I146" s="112">
        <f t="shared" si="25"/>
        <v>2269.4132205514325</v>
      </c>
      <c r="J146" s="113">
        <f t="shared" si="26"/>
        <v>34.788474739307944</v>
      </c>
    </row>
    <row r="147" spans="3:10" s="4" customFormat="1" ht="12.75">
      <c r="C147" s="28" t="s">
        <v>74</v>
      </c>
      <c r="D147" s="54">
        <v>50</v>
      </c>
      <c r="E147" s="115">
        <f t="shared" si="27"/>
        <v>2686.370266680409</v>
      </c>
      <c r="F147" s="115">
        <f t="shared" si="28"/>
        <v>2548.1835935780805</v>
      </c>
      <c r="G147" s="115">
        <f t="shared" si="29"/>
        <v>2417.7332400123682</v>
      </c>
      <c r="H147" s="112">
        <f t="shared" si="24"/>
        <v>354.2564561846683</v>
      </c>
      <c r="I147" s="115">
        <f t="shared" si="25"/>
        <v>2000.824401303161</v>
      </c>
      <c r="J147" s="113">
        <f t="shared" si="26"/>
        <v>32.88203954196093</v>
      </c>
    </row>
    <row r="148" spans="3:10" s="4" customFormat="1" ht="12.75">
      <c r="C148" s="28"/>
      <c r="D148" s="53">
        <v>40</v>
      </c>
      <c r="E148" s="112">
        <f t="shared" si="27"/>
        <v>2836.4386631669813</v>
      </c>
      <c r="F148" s="112">
        <f t="shared" si="28"/>
        <v>2690.532483671401</v>
      </c>
      <c r="G148" s="112">
        <f t="shared" si="29"/>
        <v>2552.7947968502835</v>
      </c>
      <c r="H148" s="112">
        <f t="shared" si="24"/>
        <v>316.85660699883766</v>
      </c>
      <c r="I148" s="112">
        <f t="shared" si="25"/>
        <v>1690.076981704289</v>
      </c>
      <c r="J148" s="113">
        <f t="shared" si="26"/>
        <v>31.142338623570346</v>
      </c>
    </row>
    <row r="149" spans="3:10" s="4" customFormat="1" ht="12.75">
      <c r="C149" s="28"/>
      <c r="D149" s="53">
        <v>33</v>
      </c>
      <c r="E149" s="112">
        <f t="shared" si="27"/>
        <v>2915.148546519011</v>
      </c>
      <c r="F149" s="112">
        <f t="shared" si="28"/>
        <v>2765.1935368768213</v>
      </c>
      <c r="G149" s="112">
        <f t="shared" si="29"/>
        <v>2623.6336918671095</v>
      </c>
      <c r="H149" s="112">
        <f t="shared" si="24"/>
        <v>287.7993055134482</v>
      </c>
      <c r="I149" s="112">
        <f t="shared" si="25"/>
        <v>1433.005075898982</v>
      </c>
      <c r="J149" s="113">
        <f t="shared" si="26"/>
        <v>30.301486158848572</v>
      </c>
    </row>
    <row r="150" spans="3:10" s="4" customFormat="1" ht="12.75">
      <c r="C150" s="28"/>
      <c r="D150" s="53">
        <v>25</v>
      </c>
      <c r="E150" s="112">
        <f t="shared" si="27"/>
        <v>2861.983262911739</v>
      </c>
      <c r="F150" s="112">
        <f t="shared" si="28"/>
        <v>2714.7630712346504</v>
      </c>
      <c r="G150" s="112">
        <f t="shared" si="29"/>
        <v>2575.784936620565</v>
      </c>
      <c r="H150" s="112">
        <f t="shared" si="24"/>
        <v>250.497142447294</v>
      </c>
      <c r="I150" s="112">
        <f t="shared" si="25"/>
        <v>1065.810997757796</v>
      </c>
      <c r="J150" s="113">
        <f t="shared" si="26"/>
        <v>30.864378026957546</v>
      </c>
    </row>
    <row r="151" spans="3:10" s="4" customFormat="1" ht="12.75">
      <c r="C151" s="28"/>
      <c r="D151" s="53">
        <v>20</v>
      </c>
      <c r="E151" s="112">
        <f t="shared" si="27"/>
        <v>2517.39872836918</v>
      </c>
      <c r="F151" s="112">
        <f t="shared" si="28"/>
        <v>2387.903937773824</v>
      </c>
      <c r="G151" s="112">
        <f t="shared" si="29"/>
        <v>2265.658855532262</v>
      </c>
      <c r="H151" s="112">
        <f t="shared" si="24"/>
        <v>224.051455472639</v>
      </c>
      <c r="I151" s="112">
        <f t="shared" si="25"/>
        <v>749.9893616310379</v>
      </c>
      <c r="J151" s="113">
        <f t="shared" si="26"/>
        <v>35.08913083091823</v>
      </c>
    </row>
    <row r="152" spans="3:10" s="4" customFormat="1" ht="12.75">
      <c r="C152" s="56"/>
      <c r="D152" s="53">
        <v>17</v>
      </c>
      <c r="E152" s="112">
        <f t="shared" si="27"/>
        <v>1845.4696187948064</v>
      </c>
      <c r="F152" s="112">
        <f t="shared" si="28"/>
        <v>1750.538808215292</v>
      </c>
      <c r="G152" s="112">
        <f t="shared" si="29"/>
        <v>1660.9226569153257</v>
      </c>
      <c r="H152" s="112">
        <f t="shared" si="24"/>
        <v>206.5652354451173</v>
      </c>
      <c r="I152" s="112">
        <f t="shared" si="25"/>
        <v>467.33565916874966</v>
      </c>
      <c r="J152" s="113">
        <f t="shared" si="26"/>
        <v>47.864962085379595</v>
      </c>
    </row>
    <row r="153" spans="2:10" s="4" customFormat="1" ht="12.75">
      <c r="B153" s="48"/>
      <c r="C153" s="20"/>
      <c r="D153" s="52" t="s">
        <v>75</v>
      </c>
      <c r="E153" s="57" t="s">
        <v>7</v>
      </c>
      <c r="F153" s="57" t="s">
        <v>14</v>
      </c>
      <c r="G153" s="57" t="s">
        <v>8</v>
      </c>
      <c r="H153" s="52" t="s">
        <v>20</v>
      </c>
      <c r="I153" s="85" t="s">
        <v>67</v>
      </c>
      <c r="J153" s="52" t="s">
        <v>69</v>
      </c>
    </row>
    <row r="154" spans="3:10" s="4" customFormat="1" ht="12.75">
      <c r="C154" s="57"/>
      <c r="D154" s="118">
        <v>150</v>
      </c>
      <c r="E154" s="124"/>
      <c r="F154" s="125"/>
      <c r="G154" s="126"/>
      <c r="H154" s="120">
        <f aca="true" t="shared" si="30" ref="H154:H165">SQRT($C$55*$K$21/J154)</f>
        <v>9.336221079504426</v>
      </c>
      <c r="I154" s="117">
        <f>J154/(D154+(J154/$K$22))</f>
        <v>1.427970012382267</v>
      </c>
      <c r="J154" s="113">
        <f aca="true" t="shared" si="31" ref="J154:J159">$J$160</f>
        <v>215.42598926758762</v>
      </c>
    </row>
    <row r="155" spans="3:10" s="4" customFormat="1" ht="12.75">
      <c r="C155" s="28"/>
      <c r="D155" s="118">
        <v>125</v>
      </c>
      <c r="E155" s="127"/>
      <c r="F155" s="122"/>
      <c r="G155" s="128"/>
      <c r="H155" s="120">
        <f t="shared" si="30"/>
        <v>9.336221079504426</v>
      </c>
      <c r="I155" s="117">
        <f aca="true" t="shared" si="32" ref="I155:I165">J155/(D155+(J155/$K$22))</f>
        <v>1.7116087141253578</v>
      </c>
      <c r="J155" s="113">
        <f t="shared" si="31"/>
        <v>215.42598926758762</v>
      </c>
    </row>
    <row r="156" spans="3:10" s="4" customFormat="1" ht="12.75">
      <c r="C156" s="28"/>
      <c r="D156" s="118">
        <v>100</v>
      </c>
      <c r="E156" s="127"/>
      <c r="F156" s="122"/>
      <c r="G156" s="128"/>
      <c r="H156" s="120">
        <f t="shared" si="30"/>
        <v>9.336221079504426</v>
      </c>
      <c r="I156" s="117">
        <f t="shared" si="32"/>
        <v>2.1358551443794678</v>
      </c>
      <c r="J156" s="113">
        <f t="shared" si="31"/>
        <v>215.42598926758762</v>
      </c>
    </row>
    <row r="157" spans="3:10" s="4" customFormat="1" ht="12.75">
      <c r="C157" s="28"/>
      <c r="D157" s="118">
        <v>90</v>
      </c>
      <c r="E157" s="127"/>
      <c r="F157" s="122"/>
      <c r="G157" s="128"/>
      <c r="H157" s="120">
        <f t="shared" si="30"/>
        <v>9.336221079504426</v>
      </c>
      <c r="I157" s="117">
        <f t="shared" si="32"/>
        <v>2.370921740245709</v>
      </c>
      <c r="J157" s="113">
        <f t="shared" si="31"/>
        <v>215.42598926758762</v>
      </c>
    </row>
    <row r="158" spans="3:10" s="4" customFormat="1" ht="12.75">
      <c r="C158" s="28"/>
      <c r="D158" s="118">
        <v>75</v>
      </c>
      <c r="E158" s="127"/>
      <c r="F158" s="122"/>
      <c r="G158" s="128"/>
      <c r="H158" s="120">
        <f t="shared" si="30"/>
        <v>9.336221079504426</v>
      </c>
      <c r="I158" s="117">
        <f t="shared" si="32"/>
        <v>2.839719885404839</v>
      </c>
      <c r="J158" s="113">
        <f t="shared" si="31"/>
        <v>215.42598926758762</v>
      </c>
    </row>
    <row r="159" spans="3:10" s="4" customFormat="1" ht="12.75">
      <c r="C159" s="28"/>
      <c r="D159" s="118">
        <v>60</v>
      </c>
      <c r="E159" s="127"/>
      <c r="F159" s="122"/>
      <c r="G159" s="128"/>
      <c r="H159" s="120">
        <f t="shared" si="30"/>
        <v>9.336221079504426</v>
      </c>
      <c r="I159" s="117">
        <f t="shared" si="32"/>
        <v>3.539598388824955</v>
      </c>
      <c r="J159" s="113">
        <f t="shared" si="31"/>
        <v>215.42598926758762</v>
      </c>
    </row>
    <row r="160" spans="3:10" s="4" customFormat="1" ht="12.75">
      <c r="C160" s="28" t="s">
        <v>11</v>
      </c>
      <c r="D160" s="119">
        <v>50</v>
      </c>
      <c r="E160" s="129"/>
      <c r="F160" s="123">
        <f>J160/(2*3.1416*(($K$26+$K$27)/2))</f>
        <v>18.0452794140756</v>
      </c>
      <c r="G160" s="130"/>
      <c r="H160" s="121">
        <f t="shared" si="30"/>
        <v>9.336221079504426</v>
      </c>
      <c r="I160" s="117">
        <f t="shared" si="32"/>
        <v>4.235524422253277</v>
      </c>
      <c r="J160" s="116">
        <f>D160*$J$86*$J$86*$K$21/($C$54*((D160*D160)+($J$86*$J$86)))</f>
        <v>215.42598926758762</v>
      </c>
    </row>
    <row r="161" spans="3:10" s="4" customFormat="1" ht="12.75">
      <c r="C161" s="28"/>
      <c r="D161" s="118">
        <v>40</v>
      </c>
      <c r="E161" s="127"/>
      <c r="F161" s="122"/>
      <c r="G161" s="128"/>
      <c r="H161" s="120">
        <f t="shared" si="30"/>
        <v>9.336221079504426</v>
      </c>
      <c r="I161" s="117">
        <f t="shared" si="32"/>
        <v>5.2720755231821945</v>
      </c>
      <c r="J161" s="113">
        <f>$J$160</f>
        <v>215.42598926758762</v>
      </c>
    </row>
    <row r="162" spans="3:10" s="4" customFormat="1" ht="12.75">
      <c r="C162" s="28"/>
      <c r="D162" s="118">
        <v>33</v>
      </c>
      <c r="E162" s="127"/>
      <c r="F162" s="122"/>
      <c r="G162" s="128"/>
      <c r="H162" s="120">
        <f t="shared" si="30"/>
        <v>9.336221079504426</v>
      </c>
      <c r="I162" s="117">
        <f t="shared" si="32"/>
        <v>6.361935877199307</v>
      </c>
      <c r="J162" s="113">
        <f>$J$160</f>
        <v>215.42598926758762</v>
      </c>
    </row>
    <row r="163" spans="3:10" s="4" customFormat="1" ht="12.75">
      <c r="C163" s="28"/>
      <c r="D163" s="118">
        <v>25</v>
      </c>
      <c r="E163" s="127"/>
      <c r="F163" s="122"/>
      <c r="G163" s="128"/>
      <c r="H163" s="120">
        <f t="shared" si="30"/>
        <v>9.336221079504426</v>
      </c>
      <c r="I163" s="117">
        <f t="shared" si="32"/>
        <v>8.329922484040042</v>
      </c>
      <c r="J163" s="113">
        <f>$J$160</f>
        <v>215.42598926758762</v>
      </c>
    </row>
    <row r="164" spans="3:10" s="4" customFormat="1" ht="12.75">
      <c r="C164" s="28"/>
      <c r="D164" s="118">
        <v>20</v>
      </c>
      <c r="E164" s="127"/>
      <c r="F164" s="122"/>
      <c r="G164" s="128"/>
      <c r="H164" s="120">
        <f t="shared" si="30"/>
        <v>9.336221079504426</v>
      </c>
      <c r="I164" s="117">
        <f t="shared" si="32"/>
        <v>10.32638511748109</v>
      </c>
      <c r="J164" s="113">
        <f>$J$160</f>
        <v>215.42598926758762</v>
      </c>
    </row>
    <row r="165" spans="3:10" s="4" customFormat="1" ht="12.75">
      <c r="C165" s="56"/>
      <c r="D165" s="118">
        <v>17</v>
      </c>
      <c r="E165" s="131"/>
      <c r="F165" s="132"/>
      <c r="G165" s="133"/>
      <c r="H165" s="120">
        <f t="shared" si="30"/>
        <v>9.336221079504426</v>
      </c>
      <c r="I165" s="117">
        <f t="shared" si="32"/>
        <v>12.060774816632975</v>
      </c>
      <c r="J165" s="113">
        <f>$J$160</f>
        <v>215.42598926758762</v>
      </c>
    </row>
    <row r="166" spans="2:9" s="4" customFormat="1" ht="12.75">
      <c r="B166" s="9"/>
      <c r="C166" s="32"/>
      <c r="D166" s="9"/>
      <c r="E166" s="9"/>
      <c r="F166" s="9"/>
      <c r="G166" s="9"/>
      <c r="H166" s="9"/>
      <c r="I166" s="58"/>
    </row>
    <row r="167" spans="2:9" s="4" customFormat="1" ht="12.75">
      <c r="B167" s="9"/>
      <c r="C167" s="32"/>
      <c r="D167" s="9"/>
      <c r="E167" s="9"/>
      <c r="F167" s="9"/>
      <c r="G167" s="9"/>
      <c r="H167" s="9"/>
      <c r="I167" s="58"/>
    </row>
    <row r="168" spans="2:11" s="4" customFormat="1" ht="12.75">
      <c r="B168" s="110" t="s">
        <v>147</v>
      </c>
      <c r="C168" s="32"/>
      <c r="D168" s="9"/>
      <c r="E168" s="9"/>
      <c r="F168" s="9"/>
      <c r="G168" s="9"/>
      <c r="H168" s="9"/>
      <c r="I168" s="58"/>
      <c r="J168" s="7"/>
      <c r="K168" s="7"/>
    </row>
    <row r="169" spans="2:11" s="4" customFormat="1" ht="12.75">
      <c r="B169" s="81" t="s">
        <v>148</v>
      </c>
      <c r="C169" s="32"/>
      <c r="D169" s="9"/>
      <c r="E169" s="9"/>
      <c r="F169" s="9"/>
      <c r="G169" s="9"/>
      <c r="H169" s="9"/>
      <c r="I169" s="58"/>
      <c r="J169" s="7"/>
      <c r="K169" s="7"/>
    </row>
    <row r="170" spans="2:11" s="4" customFormat="1" ht="12.75">
      <c r="B170" s="9"/>
      <c r="C170" s="32"/>
      <c r="D170" s="9"/>
      <c r="E170" s="9"/>
      <c r="F170" s="9"/>
      <c r="G170" s="9"/>
      <c r="H170" s="9"/>
      <c r="I170" s="58"/>
      <c r="J170" s="7"/>
      <c r="K170" s="7"/>
    </row>
    <row r="171" spans="2:11" s="4" customFormat="1" ht="12.75">
      <c r="B171" s="7" t="s">
        <v>152</v>
      </c>
      <c r="C171" s="7"/>
      <c r="D171" s="7"/>
      <c r="E171" s="7"/>
      <c r="F171" s="7"/>
      <c r="G171" s="7"/>
      <c r="H171" s="7"/>
      <c r="I171" s="7"/>
      <c r="J171" s="7"/>
      <c r="K171" s="7"/>
    </row>
    <row r="172" spans="2:11" s="4" customFormat="1" ht="12.75">
      <c r="B172" s="7" t="s">
        <v>172</v>
      </c>
      <c r="C172" s="7"/>
      <c r="D172" s="7"/>
      <c r="E172" s="7"/>
      <c r="F172" s="7"/>
      <c r="G172" s="7"/>
      <c r="H172" s="7"/>
      <c r="I172" s="7"/>
      <c r="J172" s="7"/>
      <c r="K172" s="7"/>
    </row>
    <row r="173" spans="2:11" s="4" customFormat="1" ht="12.75">
      <c r="B173" s="7" t="s">
        <v>173</v>
      </c>
      <c r="C173" s="7"/>
      <c r="D173" s="7"/>
      <c r="E173" s="7"/>
      <c r="F173" s="7"/>
      <c r="G173" s="7"/>
      <c r="H173" s="7"/>
      <c r="I173" s="7"/>
      <c r="J173" s="7"/>
      <c r="K173" s="7"/>
    </row>
    <row r="174" spans="2:11" s="4" customFormat="1" ht="12.7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s="4" customFormat="1" ht="12.75">
      <c r="B175" s="7" t="s">
        <v>162</v>
      </c>
      <c r="C175" s="7"/>
      <c r="D175" s="7"/>
      <c r="E175" s="7"/>
      <c r="F175" s="7"/>
      <c r="G175" s="7"/>
      <c r="H175" s="7"/>
      <c r="I175" s="7"/>
      <c r="J175" s="7"/>
      <c r="K175" s="7"/>
    </row>
    <row r="176" spans="2:11" s="4" customFormat="1" ht="12.75">
      <c r="B176" s="7" t="s">
        <v>163</v>
      </c>
      <c r="C176" s="7"/>
      <c r="D176" s="7"/>
      <c r="E176" s="7"/>
      <c r="F176" s="7"/>
      <c r="G176" s="7"/>
      <c r="H176" s="7"/>
      <c r="I176" s="7"/>
      <c r="J176" s="7"/>
      <c r="K176" s="7"/>
    </row>
    <row r="177" spans="2:11" s="4" customFormat="1" ht="12.75">
      <c r="B177" s="7" t="s">
        <v>170</v>
      </c>
      <c r="C177" s="7"/>
      <c r="D177" s="7"/>
      <c r="E177" s="7"/>
      <c r="F177" s="7"/>
      <c r="G177" s="7"/>
      <c r="H177" s="7"/>
      <c r="I177" s="7"/>
      <c r="J177" s="7"/>
      <c r="K177" s="7"/>
    </row>
    <row r="178" spans="2:11" s="4" customFormat="1" ht="12.75">
      <c r="B178" s="7" t="s">
        <v>160</v>
      </c>
      <c r="C178" s="7"/>
      <c r="D178" s="7"/>
      <c r="E178" s="7"/>
      <c r="F178" s="7"/>
      <c r="G178" s="7"/>
      <c r="H178" s="7"/>
      <c r="I178" s="7"/>
      <c r="J178" s="7"/>
      <c r="K178" s="7"/>
    </row>
    <row r="179" spans="2:11" s="4" customFormat="1" ht="12.75">
      <c r="B179" s="7" t="s">
        <v>161</v>
      </c>
      <c r="C179" s="7"/>
      <c r="D179" s="7"/>
      <c r="E179" s="7"/>
      <c r="F179" s="7"/>
      <c r="G179" s="7"/>
      <c r="H179" s="7"/>
      <c r="I179" s="7"/>
      <c r="J179" s="7"/>
      <c r="K179" s="7"/>
    </row>
    <row r="180" spans="2:11" s="4" customFormat="1" ht="12.7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="4" customFormat="1" ht="12.75"/>
    <row r="182" s="48" customFormat="1" ht="12.75"/>
    <row r="183" spans="3:10" s="4" customFormat="1" ht="12.75">
      <c r="C183" s="105" t="s">
        <v>26</v>
      </c>
      <c r="D183" s="105"/>
      <c r="E183" s="105"/>
      <c r="F183" s="105"/>
      <c r="G183" s="48"/>
      <c r="H183" s="48"/>
      <c r="I183" s="48"/>
      <c r="J183" s="48"/>
    </row>
    <row r="184" spans="3:6" s="4" customFormat="1" ht="12.75">
      <c r="C184" s="51"/>
      <c r="D184" s="51"/>
      <c r="E184" s="51"/>
      <c r="F184" s="51"/>
    </row>
    <row r="185" spans="2:11" s="4" customFormat="1" ht="12.75">
      <c r="B185" s="7" t="s">
        <v>61</v>
      </c>
      <c r="C185" s="24"/>
      <c r="D185" s="24"/>
      <c r="E185" s="24"/>
      <c r="F185" s="24"/>
      <c r="G185" s="7"/>
      <c r="H185" s="7"/>
      <c r="I185" s="7"/>
      <c r="J185" s="7"/>
      <c r="K185" s="7"/>
    </row>
    <row r="186" spans="2:11" s="4" customFormat="1" ht="12.75">
      <c r="B186" s="7" t="s">
        <v>62</v>
      </c>
      <c r="C186" s="24"/>
      <c r="D186" s="24"/>
      <c r="E186" s="24"/>
      <c r="F186" s="24"/>
      <c r="G186" s="7"/>
      <c r="H186" s="7"/>
      <c r="I186" s="7"/>
      <c r="J186" s="7"/>
      <c r="K186" s="7"/>
    </row>
    <row r="187" spans="2:11" s="4" customFormat="1" ht="12.75">
      <c r="B187" s="7" t="s">
        <v>32</v>
      </c>
      <c r="C187" s="24"/>
      <c r="D187" s="24"/>
      <c r="E187" s="24"/>
      <c r="F187" s="24"/>
      <c r="G187" s="7"/>
      <c r="H187" s="7"/>
      <c r="I187" s="7"/>
      <c r="J187" s="7"/>
      <c r="K187" s="7"/>
    </row>
    <row r="188" spans="2:20" s="4" customFormat="1" ht="12.75">
      <c r="B188" s="7" t="s">
        <v>33</v>
      </c>
      <c r="C188" s="24"/>
      <c r="D188" s="24"/>
      <c r="E188" s="24"/>
      <c r="F188" s="24"/>
      <c r="G188" s="7"/>
      <c r="H188" s="7"/>
      <c r="I188" s="7"/>
      <c r="J188" s="7"/>
      <c r="K188" s="7"/>
      <c r="M188" s="48"/>
      <c r="N188" s="48"/>
      <c r="O188" s="48"/>
      <c r="P188" s="48"/>
      <c r="Q188" s="48"/>
      <c r="R188" s="48"/>
      <c r="S188" s="48"/>
      <c r="T188" s="48"/>
    </row>
    <row r="189" spans="2:20" s="4" customFormat="1" ht="12.75">
      <c r="B189" s="7" t="s">
        <v>149</v>
      </c>
      <c r="C189" s="7"/>
      <c r="D189" s="7"/>
      <c r="E189" s="7"/>
      <c r="F189" s="7"/>
      <c r="G189" s="7"/>
      <c r="H189" s="7"/>
      <c r="I189" s="7"/>
      <c r="J189" s="7"/>
      <c r="K189" s="7"/>
      <c r="M189" s="48"/>
      <c r="N189" s="48"/>
      <c r="O189" s="48"/>
      <c r="P189" s="48"/>
      <c r="Q189" s="48"/>
      <c r="R189" s="48"/>
      <c r="S189" s="48"/>
      <c r="T189" s="48"/>
    </row>
    <row r="190" spans="11:20" s="4" customFormat="1" ht="12.75">
      <c r="K190" s="48"/>
      <c r="M190" s="48"/>
      <c r="N190" s="48"/>
      <c r="O190" s="48"/>
      <c r="P190" s="48"/>
      <c r="Q190" s="48"/>
      <c r="R190" s="48"/>
      <c r="S190" s="48"/>
      <c r="T190" s="50"/>
    </row>
    <row r="191" spans="2:20" s="4" customFormat="1" ht="12.75">
      <c r="B191" s="26" t="s">
        <v>122</v>
      </c>
      <c r="C191" s="27"/>
      <c r="D191" s="27"/>
      <c r="E191" s="27"/>
      <c r="F191" s="27"/>
      <c r="G191" s="27"/>
      <c r="H191" s="27"/>
      <c r="I191" s="27"/>
      <c r="J191" s="62" t="s">
        <v>29</v>
      </c>
      <c r="K191" s="2">
        <v>50</v>
      </c>
      <c r="M191" s="48"/>
      <c r="N191" s="48"/>
      <c r="O191" s="48"/>
      <c r="P191" s="48"/>
      <c r="Q191" s="48"/>
      <c r="R191" s="48"/>
      <c r="S191" s="48"/>
      <c r="T191" s="50"/>
    </row>
    <row r="192" spans="2:20" s="4" customFormat="1" ht="12.75">
      <c r="B192" s="63" t="s">
        <v>121</v>
      </c>
      <c r="C192" s="64"/>
      <c r="D192" s="64"/>
      <c r="E192" s="64"/>
      <c r="F192" s="64"/>
      <c r="G192" s="64"/>
      <c r="H192" s="64"/>
      <c r="I192" s="64"/>
      <c r="J192" s="65" t="s">
        <v>30</v>
      </c>
      <c r="K192" s="2">
        <v>111</v>
      </c>
      <c r="M192" s="48"/>
      <c r="N192" s="48"/>
      <c r="O192" s="48"/>
      <c r="P192" s="48"/>
      <c r="Q192" s="48"/>
      <c r="R192" s="48"/>
      <c r="S192" s="48"/>
      <c r="T192" s="48"/>
    </row>
    <row r="193" spans="1:134" ht="12.75">
      <c r="A193" s="4"/>
      <c r="B193" s="63" t="s">
        <v>28</v>
      </c>
      <c r="C193" s="64"/>
      <c r="D193" s="64"/>
      <c r="E193" s="64"/>
      <c r="F193" s="64"/>
      <c r="G193" s="64"/>
      <c r="H193" s="64"/>
      <c r="I193" s="64"/>
      <c r="J193" s="65" t="s">
        <v>10</v>
      </c>
      <c r="K193" s="2">
        <v>250</v>
      </c>
      <c r="L193" s="4"/>
      <c r="M193" s="48"/>
      <c r="N193" s="48"/>
      <c r="O193" s="48"/>
      <c r="P193" s="48"/>
      <c r="Q193" s="48"/>
      <c r="R193" s="48"/>
      <c r="S193" s="48"/>
      <c r="T193" s="48"/>
      <c r="U193" s="50"/>
      <c r="V193" s="48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</row>
    <row r="194" spans="1:134" ht="12.75">
      <c r="A194" s="4"/>
      <c r="B194" s="29" t="s">
        <v>27</v>
      </c>
      <c r="C194" s="30"/>
      <c r="D194" s="30"/>
      <c r="E194" s="30"/>
      <c r="F194" s="30"/>
      <c r="G194" s="30"/>
      <c r="H194" s="30"/>
      <c r="I194" s="30"/>
      <c r="J194" s="67" t="s">
        <v>31</v>
      </c>
      <c r="K194" s="2">
        <v>40</v>
      </c>
      <c r="L194" s="4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</row>
    <row r="195" spans="1:134" ht="12.75">
      <c r="A195" s="4"/>
      <c r="B195" s="4"/>
      <c r="C195" s="4"/>
      <c r="D195" s="4"/>
      <c r="E195" s="4"/>
      <c r="F195" s="4"/>
      <c r="G195" s="4"/>
      <c r="H195" s="4"/>
      <c r="I195" s="38"/>
      <c r="J195" s="4"/>
      <c r="K195" s="4"/>
      <c r="L195" s="4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</row>
    <row r="196" spans="1:134" ht="12.75">
      <c r="A196" s="4"/>
      <c r="B196" s="48"/>
      <c r="C196" s="52">
        <v>1.9</v>
      </c>
      <c r="D196" s="52">
        <v>3.7</v>
      </c>
      <c r="E196" s="52">
        <v>7.1</v>
      </c>
      <c r="F196" s="52">
        <v>10.1</v>
      </c>
      <c r="G196" s="52">
        <v>14.2</v>
      </c>
      <c r="H196" s="52">
        <v>18.1</v>
      </c>
      <c r="I196" s="52">
        <v>21.2</v>
      </c>
      <c r="J196" s="52">
        <v>24.9</v>
      </c>
      <c r="K196" s="52">
        <v>28.8</v>
      </c>
      <c r="L196" s="4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</row>
    <row r="197" spans="1:134" ht="12.75">
      <c r="A197" s="4"/>
      <c r="B197" s="87" t="s">
        <v>52</v>
      </c>
      <c r="C197" s="106">
        <v>1.5</v>
      </c>
      <c r="D197" s="106">
        <v>2</v>
      </c>
      <c r="E197" s="106">
        <v>3</v>
      </c>
      <c r="F197" s="106">
        <v>7</v>
      </c>
      <c r="G197" s="106">
        <v>4.9</v>
      </c>
      <c r="H197" s="106">
        <v>3.6</v>
      </c>
      <c r="I197" s="106">
        <v>4.6</v>
      </c>
      <c r="J197" s="106">
        <v>3.6</v>
      </c>
      <c r="K197" s="106">
        <v>2.7</v>
      </c>
      <c r="L197" s="4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</row>
    <row r="198" spans="2:20" s="4" customFormat="1" ht="12.75">
      <c r="B198" s="87" t="s">
        <v>58</v>
      </c>
      <c r="C198" s="108">
        <f>IF($K$191&gt;$K$192,SQRT((C210*$K$191/$K$192)-1),SQRT(($K$192/(C210*$K$191))-1))</f>
        <v>1.11058561237506</v>
      </c>
      <c r="D198" s="108">
        <f aca="true" t="shared" si="33" ref="D198:K198">IF($K$191&gt;$K$192,SQRT((D210*$K$191/$K$192)-1),SQRT(($K$192/(D210*$K$191))-1))</f>
        <v>1.1126109948254383</v>
      </c>
      <c r="E198" s="108">
        <f t="shared" si="33"/>
        <v>1.1166752270705376</v>
      </c>
      <c r="F198" s="108">
        <f t="shared" si="33"/>
        <v>1.1331154474650633</v>
      </c>
      <c r="G198" s="108">
        <f t="shared" si="33"/>
        <v>1.1244473686860226</v>
      </c>
      <c r="H198" s="108">
        <f t="shared" si="33"/>
        <v>1.1191224530564405</v>
      </c>
      <c r="I198" s="108">
        <f t="shared" si="33"/>
        <v>1.123215781553812</v>
      </c>
      <c r="J198" s="108">
        <f t="shared" si="33"/>
        <v>1.1191224530564405</v>
      </c>
      <c r="K198" s="108">
        <f t="shared" si="33"/>
        <v>1.1154540635513626</v>
      </c>
      <c r="M198" s="48"/>
      <c r="N198" s="48"/>
      <c r="O198" s="48"/>
      <c r="P198" s="48"/>
      <c r="Q198" s="48"/>
      <c r="R198" s="48"/>
      <c r="S198" s="48"/>
      <c r="T198" s="48"/>
    </row>
    <row r="199" spans="2:20" s="4" customFormat="1" ht="12.75">
      <c r="B199" s="87" t="s">
        <v>47</v>
      </c>
      <c r="C199" s="82">
        <f>159200/(C196*C200)</f>
        <v>528.6268274274864</v>
      </c>
      <c r="D199" s="82">
        <f aca="true" t="shared" si="34" ref="D199:K199">159200/(D196*D200)</f>
        <v>523.8903947816509</v>
      </c>
      <c r="E199" s="82">
        <f t="shared" si="34"/>
        <v>499.17757890977344</v>
      </c>
      <c r="F199" s="82">
        <f t="shared" si="34"/>
        <v>955.2459064201564</v>
      </c>
      <c r="G199" s="82">
        <f t="shared" si="34"/>
        <v>452.0541204571336</v>
      </c>
      <c r="H199" s="82">
        <f t="shared" si="34"/>
        <v>246.30268298985715</v>
      </c>
      <c r="I199" s="82">
        <f t="shared" si="34"/>
        <v>281.4131567776578</v>
      </c>
      <c r="J199" s="82">
        <f t="shared" si="34"/>
        <v>179.03929968339014</v>
      </c>
      <c r="K199" s="82">
        <f t="shared" si="34"/>
        <v>106.89927685244973</v>
      </c>
      <c r="M199" s="50"/>
      <c r="N199" s="50"/>
      <c r="O199" s="50"/>
      <c r="P199" s="50"/>
      <c r="Q199" s="50"/>
      <c r="R199" s="50"/>
      <c r="S199" s="50"/>
      <c r="T199" s="48"/>
    </row>
    <row r="200" spans="2:20" s="4" customFormat="1" ht="12.75">
      <c r="B200" s="38" t="s">
        <v>46</v>
      </c>
      <c r="C200" s="89">
        <f>IF($K$191&gt;$K$192,$K$191*C204/((C197*C204)-(C210*$K$192)),($K$192*C210-$K$191)/(SQRT((($K$192*((C197*C197)+1+(C210*C210)))/($K$191*C210))-($K$192*$K$192/($K$191*$K$191))-1)-C197))</f>
        <v>158.50401329793317</v>
      </c>
      <c r="D200" s="89">
        <f aca="true" t="shared" si="35" ref="D200:K200">IF($K$191&gt;$K$192,$K$191*D204/((D197*D204)-(D210*$K$192)),($K$192*D210-$K$191)/(SQRT((($K$192*((D197*D197)+1+(D210*D210)))/($K$191*D210))-($K$192*$K$192/($K$191*$K$191))-1)-D197))</f>
        <v>82.12982611555609</v>
      </c>
      <c r="E200" s="89">
        <f t="shared" si="35"/>
        <v>44.91895501444485</v>
      </c>
      <c r="F200" s="89">
        <f t="shared" si="35"/>
        <v>16.500857142318726</v>
      </c>
      <c r="G200" s="89">
        <f t="shared" si="35"/>
        <v>24.80071986579076</v>
      </c>
      <c r="H200" s="89">
        <f t="shared" si="35"/>
        <v>35.710451886792654</v>
      </c>
      <c r="I200" s="89">
        <f t="shared" si="35"/>
        <v>26.684729485470694</v>
      </c>
      <c r="J200" s="89">
        <f t="shared" si="35"/>
        <v>35.710451886792654</v>
      </c>
      <c r="K200" s="89">
        <f t="shared" si="35"/>
        <v>51.71015128014032</v>
      </c>
      <c r="M200" s="50"/>
      <c r="N200" s="50"/>
      <c r="O200" s="50"/>
      <c r="P200" s="50"/>
      <c r="Q200" s="50"/>
      <c r="R200" s="50"/>
      <c r="S200" s="50"/>
      <c r="T200" s="48"/>
    </row>
    <row r="201" spans="2:20" s="4" customFormat="1" ht="12.75">
      <c r="B201" s="38" t="s">
        <v>43</v>
      </c>
      <c r="C201" s="42">
        <f>$K$194*$K$191/C200</f>
        <v>12.61797703658573</v>
      </c>
      <c r="D201" s="42">
        <f aca="true" t="shared" si="36" ref="D201:K201">$K$194*$K$191/D200</f>
        <v>24.35168920467473</v>
      </c>
      <c r="E201" s="42">
        <f t="shared" si="36"/>
        <v>44.52463329471597</v>
      </c>
      <c r="F201" s="42">
        <f t="shared" si="36"/>
        <v>121.20582480959271</v>
      </c>
      <c r="G201" s="42">
        <f t="shared" si="36"/>
        <v>80.642820483559</v>
      </c>
      <c r="H201" s="42">
        <f t="shared" si="36"/>
        <v>56.00601208688963</v>
      </c>
      <c r="I201" s="42">
        <f t="shared" si="36"/>
        <v>74.94923270962744</v>
      </c>
      <c r="J201" s="42">
        <f t="shared" si="36"/>
        <v>56.00601208688963</v>
      </c>
      <c r="K201" s="42">
        <f t="shared" si="36"/>
        <v>38.677125293348645</v>
      </c>
      <c r="M201" s="60"/>
      <c r="N201" s="60"/>
      <c r="O201" s="60"/>
      <c r="P201" s="48"/>
      <c r="Q201" s="48"/>
      <c r="R201" s="48"/>
      <c r="S201" s="48"/>
      <c r="T201" s="48"/>
    </row>
    <row r="202" spans="2:20" s="4" customFormat="1" ht="12.75">
      <c r="B202" s="38" t="s">
        <v>44</v>
      </c>
      <c r="C202" s="41">
        <f>1.42*SQRT(C201*C200)</f>
        <v>63.50433056099403</v>
      </c>
      <c r="D202" s="41">
        <f aca="true" t="shared" si="37" ref="D202:K202">1.42*SQRT(D201*D200)</f>
        <v>63.50433056099403</v>
      </c>
      <c r="E202" s="41">
        <f t="shared" si="37"/>
        <v>63.50433056099402</v>
      </c>
      <c r="F202" s="41">
        <f t="shared" si="37"/>
        <v>63.50433056099403</v>
      </c>
      <c r="G202" s="41">
        <f t="shared" si="37"/>
        <v>63.50433056099403</v>
      </c>
      <c r="H202" s="41">
        <f t="shared" si="37"/>
        <v>63.50433056099403</v>
      </c>
      <c r="I202" s="41">
        <f t="shared" si="37"/>
        <v>63.50433056099402</v>
      </c>
      <c r="J202" s="41">
        <f t="shared" si="37"/>
        <v>63.50433056099403</v>
      </c>
      <c r="K202" s="41">
        <f t="shared" si="37"/>
        <v>63.50433056099403</v>
      </c>
      <c r="M202" s="60"/>
      <c r="N202" s="60"/>
      <c r="O202" s="60"/>
      <c r="P202" s="48"/>
      <c r="Q202" s="48"/>
      <c r="R202" s="48"/>
      <c r="S202" s="48"/>
      <c r="T202" s="48"/>
    </row>
    <row r="203" spans="2:15" s="4" customFormat="1" ht="12.75">
      <c r="B203" s="38" t="s">
        <v>45</v>
      </c>
      <c r="C203" s="82">
        <f>159200/(C196*C204)</f>
        <v>895.5987135420696</v>
      </c>
      <c r="D203" s="82">
        <f aca="true" t="shared" si="38" ref="D203:K203">159200/(D196*D204)</f>
        <v>541.1629772331908</v>
      </c>
      <c r="E203" s="82">
        <f t="shared" si="38"/>
        <v>383.85795707801805</v>
      </c>
      <c r="F203" s="82">
        <f t="shared" si="38"/>
        <v>575.7809244265474</v>
      </c>
      <c r="G203" s="82">
        <f t="shared" si="38"/>
        <v>295.2749394846572</v>
      </c>
      <c r="H203" s="82">
        <f t="shared" si="38"/>
        <v>175.91254216261166</v>
      </c>
      <c r="I203" s="82">
        <f t="shared" si="38"/>
        <v>186.77151794385273</v>
      </c>
      <c r="J203" s="82">
        <f t="shared" si="38"/>
        <v>127.87216920254102</v>
      </c>
      <c r="K203" s="82">
        <f t="shared" si="38"/>
        <v>86.82668258448501</v>
      </c>
      <c r="M203" s="60"/>
      <c r="N203" s="60"/>
      <c r="O203" s="60"/>
    </row>
    <row r="204" spans="2:15" s="4" customFormat="1" ht="12.75">
      <c r="B204" s="38" t="s">
        <v>48</v>
      </c>
      <c r="C204" s="42">
        <f>IF($K$191&gt;$K$192,($K$191-(C210*$K$192))/(SQRT((($K$191*((C197*C197)+1+(C210*C210)))/($K$192*C210))-($K$191*$K$191/($K$192*$K$192))-1)-C197),$K$192*C200/((C197*C200)-(C210*$K$191)))</f>
        <v>93.55693841142909</v>
      </c>
      <c r="D204" s="42">
        <f aca="true" t="shared" si="39" ref="D204:K204">IF($K$191&gt;$K$192,($K$191-(D210*$K$192))/(SQRT((($K$191*((D197*D197)+1+(D210*D210)))/($K$192*D210))-($K$191*$K$191/($K$192*$K$192))-1)-D197),$K$192*D200/((D197*D200)-(D210*$K$191)))</f>
        <v>79.50844539848555</v>
      </c>
      <c r="E204" s="42">
        <f t="shared" si="39"/>
        <v>58.41362618076533</v>
      </c>
      <c r="F204" s="42">
        <f t="shared" si="39"/>
        <v>27.375648565159402</v>
      </c>
      <c r="G204" s="42">
        <f t="shared" si="39"/>
        <v>37.96891001044928</v>
      </c>
      <c r="H204" s="42">
        <f t="shared" si="39"/>
        <v>49.99973283523296</v>
      </c>
      <c r="I204" s="42">
        <f t="shared" si="39"/>
        <v>40.20652637476362</v>
      </c>
      <c r="J204" s="42">
        <f t="shared" si="39"/>
        <v>49.99973283523296</v>
      </c>
      <c r="K204" s="42">
        <f t="shared" si="39"/>
        <v>63.664505117986984</v>
      </c>
      <c r="M204" s="60"/>
      <c r="N204" s="60"/>
      <c r="O204" s="60"/>
    </row>
    <row r="205" spans="2:15" s="4" customFormat="1" ht="12.75">
      <c r="B205" s="38" t="s">
        <v>40</v>
      </c>
      <c r="C205" s="42">
        <f>$K$194*C210*$K$192/C204</f>
        <v>47.17298444067998</v>
      </c>
      <c r="D205" s="42">
        <f aca="true" t="shared" si="40" ref="D205:K205">$K$194*D210*$K$192/D204</f>
        <v>55.39637931449097</v>
      </c>
      <c r="E205" s="42">
        <f t="shared" si="40"/>
        <v>75.09754635716274</v>
      </c>
      <c r="F205" s="42">
        <f t="shared" si="40"/>
        <v>157.64667601309375</v>
      </c>
      <c r="G205" s="42">
        <f t="shared" si="40"/>
        <v>114.64579833347955</v>
      </c>
      <c r="H205" s="42">
        <f t="shared" si="40"/>
        <v>87.52174765454646</v>
      </c>
      <c r="I205" s="42">
        <f t="shared" si="40"/>
        <v>108.39792424186068</v>
      </c>
      <c r="J205" s="42">
        <f t="shared" si="40"/>
        <v>87.52174765454646</v>
      </c>
      <c r="K205" s="42">
        <f t="shared" si="40"/>
        <v>68.98738931309347</v>
      </c>
      <c r="M205" s="60"/>
      <c r="N205" s="60"/>
      <c r="O205" s="60"/>
    </row>
    <row r="206" spans="2:15" s="4" customFormat="1" ht="12.75">
      <c r="B206" s="38" t="s">
        <v>41</v>
      </c>
      <c r="C206" s="41">
        <f>1.42*SQRT(C205*C204)</f>
        <v>94.3350364604795</v>
      </c>
      <c r="D206" s="41">
        <f aca="true" t="shared" si="41" ref="D206:K206">1.42*SQRT(D205*D204)</f>
        <v>94.24008421048869</v>
      </c>
      <c r="E206" s="41">
        <f t="shared" si="41"/>
        <v>94.04989212115024</v>
      </c>
      <c r="F206" s="41">
        <f t="shared" si="41"/>
        <v>93.28524616465349</v>
      </c>
      <c r="G206" s="41">
        <f t="shared" si="41"/>
        <v>93.68746344308826</v>
      </c>
      <c r="H206" s="41">
        <f t="shared" si="41"/>
        <v>93.9355920277293</v>
      </c>
      <c r="I206" s="41">
        <f t="shared" si="41"/>
        <v>93.74478217799644</v>
      </c>
      <c r="J206" s="41">
        <f t="shared" si="41"/>
        <v>93.9355920277293</v>
      </c>
      <c r="K206" s="41">
        <f t="shared" si="41"/>
        <v>94.10699010806795</v>
      </c>
      <c r="M206" s="60"/>
      <c r="N206" s="60"/>
      <c r="O206" s="60"/>
    </row>
    <row r="207" spans="2:15" s="4" customFormat="1" ht="12.75">
      <c r="B207" s="38" t="s">
        <v>49</v>
      </c>
      <c r="C207" s="84">
        <f>0.1592*C208/C196</f>
        <v>5.681180427787773</v>
      </c>
      <c r="D207" s="84">
        <f aca="true" t="shared" si="42" ref="D207:K207">0.1592*D208/D196</f>
        <v>3.1141061944407067</v>
      </c>
      <c r="E207" s="84">
        <f t="shared" si="42"/>
        <v>1.4841357123552033</v>
      </c>
      <c r="F207" s="84">
        <f t="shared" si="42"/>
        <v>0.5266622427504561</v>
      </c>
      <c r="G207" s="84">
        <f t="shared" si="42"/>
        <v>0.5317213195386192</v>
      </c>
      <c r="H207" s="84">
        <f t="shared" si="42"/>
        <v>0.5270893381259445</v>
      </c>
      <c r="I207" s="84">
        <f t="shared" si="42"/>
        <v>0.3758456678363117</v>
      </c>
      <c r="J207" s="84">
        <f t="shared" si="42"/>
        <v>0.3831452618505862</v>
      </c>
      <c r="K207" s="84">
        <f t="shared" si="42"/>
        <v>0.38150365384269597</v>
      </c>
      <c r="M207" s="60"/>
      <c r="N207" s="60"/>
      <c r="O207" s="60"/>
    </row>
    <row r="208" spans="2:15" s="4" customFormat="1" ht="12.75">
      <c r="B208" s="38" t="s">
        <v>50</v>
      </c>
      <c r="C208" s="42">
        <f>IF($K$191&gt;$K$192,$K$192*C197*C204*C204/(C210*(($K$192*$K$192)+(C204*C204))),C210*$K$191*C197*C200*C200/(($K$191*$K$191)+(C200*C200)))</f>
        <v>67.80303274369828</v>
      </c>
      <c r="D208" s="42">
        <f aca="true" t="shared" si="43" ref="D208:K208">IF($K$191&gt;$K$192,$K$192*D197*D204*D204/(D210*(($K$192*$K$192)+(D204*D204))),D210*$K$191*D197*D200*D200/(($K$191*$K$191)+(D200*D200)))</f>
        <v>72.37558366476517</v>
      </c>
      <c r="E208" s="42">
        <f t="shared" si="43"/>
        <v>66.18946958368053</v>
      </c>
      <c r="F208" s="42">
        <f t="shared" si="43"/>
        <v>33.41261715941964</v>
      </c>
      <c r="G208" s="42">
        <f t="shared" si="43"/>
        <v>47.42740412970095</v>
      </c>
      <c r="H208" s="42">
        <f t="shared" si="43"/>
        <v>59.926614447736156</v>
      </c>
      <c r="I208" s="42">
        <f t="shared" si="43"/>
        <v>50.04979998825256</v>
      </c>
      <c r="J208" s="42">
        <f t="shared" si="43"/>
        <v>59.926614447736156</v>
      </c>
      <c r="K208" s="42">
        <f t="shared" si="43"/>
        <v>69.01573637355304</v>
      </c>
      <c r="M208" s="60"/>
      <c r="N208" s="60"/>
      <c r="O208" s="60"/>
    </row>
    <row r="209" spans="2:11" s="4" customFormat="1" ht="12.75">
      <c r="B209" s="38" t="s">
        <v>42</v>
      </c>
      <c r="C209" s="42">
        <f>SQRT($K$194*C197/C208)</f>
        <v>0.9406998295224057</v>
      </c>
      <c r="D209" s="42">
        <f aca="true" t="shared" si="44" ref="D209:K209">SQRT($K$194*D197/D208)</f>
        <v>1.051353957864944</v>
      </c>
      <c r="E209" s="42">
        <f t="shared" si="44"/>
        <v>1.3464684220408223</v>
      </c>
      <c r="F209" s="42">
        <f t="shared" si="44"/>
        <v>2.8948346903851423</v>
      </c>
      <c r="G209" s="42">
        <f t="shared" si="44"/>
        <v>2.032887560017165</v>
      </c>
      <c r="H209" s="42">
        <f t="shared" si="44"/>
        <v>1.550141611847139</v>
      </c>
      <c r="I209" s="42">
        <f t="shared" si="44"/>
        <v>1.9173779929501051</v>
      </c>
      <c r="J209" s="42">
        <f t="shared" si="44"/>
        <v>1.550141611847139</v>
      </c>
      <c r="K209" s="42">
        <f t="shared" si="44"/>
        <v>1.250943845230889</v>
      </c>
    </row>
    <row r="210" spans="2:11" s="4" customFormat="1" ht="12.75">
      <c r="B210" s="38" t="s">
        <v>51</v>
      </c>
      <c r="C210" s="43">
        <f>1-(C197/$K$193)</f>
        <v>0.994</v>
      </c>
      <c r="D210" s="43">
        <f aca="true" t="shared" si="45" ref="D210:K210">1-(D197/$K$193)</f>
        <v>0.992</v>
      </c>
      <c r="E210" s="43">
        <f t="shared" si="45"/>
        <v>0.988</v>
      </c>
      <c r="F210" s="43">
        <f t="shared" si="45"/>
        <v>0.972</v>
      </c>
      <c r="G210" s="43">
        <f t="shared" si="45"/>
        <v>0.9804</v>
      </c>
      <c r="H210" s="43">
        <f t="shared" si="45"/>
        <v>0.9856</v>
      </c>
      <c r="I210" s="43">
        <f t="shared" si="45"/>
        <v>0.9816</v>
      </c>
      <c r="J210" s="43">
        <f t="shared" si="45"/>
        <v>0.9856</v>
      </c>
      <c r="K210" s="43">
        <f t="shared" si="45"/>
        <v>0.9892</v>
      </c>
    </row>
    <row r="211" spans="2:11" s="4" customFormat="1" ht="12.75">
      <c r="B211" s="8" t="s">
        <v>53</v>
      </c>
      <c r="C211" s="42">
        <f>C196/C197</f>
        <v>1.2666666666666666</v>
      </c>
      <c r="D211" s="42">
        <f aca="true" t="shared" si="46" ref="D211:K211">D196/D197</f>
        <v>1.85</v>
      </c>
      <c r="E211" s="42">
        <f t="shared" si="46"/>
        <v>2.3666666666666667</v>
      </c>
      <c r="F211" s="42">
        <f t="shared" si="46"/>
        <v>1.4428571428571428</v>
      </c>
      <c r="G211" s="42">
        <f t="shared" si="46"/>
        <v>2.897959183673469</v>
      </c>
      <c r="H211" s="42">
        <f t="shared" si="46"/>
        <v>5.027777777777778</v>
      </c>
      <c r="I211" s="42">
        <f t="shared" si="46"/>
        <v>4.608695652173913</v>
      </c>
      <c r="J211" s="42">
        <f t="shared" si="46"/>
        <v>6.916666666666666</v>
      </c>
      <c r="K211" s="42">
        <f t="shared" si="46"/>
        <v>10.666666666666666</v>
      </c>
    </row>
    <row r="212" spans="2:11" s="4" customFormat="1" ht="12.75">
      <c r="B212" s="8" t="s">
        <v>54</v>
      </c>
      <c r="C212" s="42">
        <f>C211/0.2</f>
        <v>6.333333333333333</v>
      </c>
      <c r="D212" s="42">
        <f>D211/0.3</f>
        <v>6.166666666666667</v>
      </c>
      <c r="E212" s="42">
        <f>E211/0.2</f>
        <v>11.833333333333332</v>
      </c>
      <c r="F212" s="42">
        <f>F211/0.15</f>
        <v>9.619047619047619</v>
      </c>
      <c r="G212" s="42">
        <f>G211/0.35</f>
        <v>8.279883381924197</v>
      </c>
      <c r="H212" s="42">
        <f>H211/0.1</f>
        <v>50.27777777777777</v>
      </c>
      <c r="I212" s="42">
        <f>I211/0.45</f>
        <v>10.241545893719806</v>
      </c>
      <c r="J212" s="42">
        <f>J211/0.1</f>
        <v>69.16666666666666</v>
      </c>
      <c r="K212" s="42">
        <f>K211/1.7</f>
        <v>6.2745098039215685</v>
      </c>
    </row>
    <row r="213" spans="2:11" s="4" customFormat="1" ht="12.75">
      <c r="B213" s="8" t="s">
        <v>55</v>
      </c>
      <c r="C213" s="41">
        <f>-(20*LOG(6*C197))</f>
        <v>-19.084850188786497</v>
      </c>
      <c r="D213" s="41">
        <f aca="true" t="shared" si="47" ref="D213:K213">-(20*LOG(6*D197))</f>
        <v>-21.5836249209525</v>
      </c>
      <c r="E213" s="41">
        <f t="shared" si="47"/>
        <v>-25.105450102066122</v>
      </c>
      <c r="F213" s="41">
        <f t="shared" si="47"/>
        <v>-32.46498580795801</v>
      </c>
      <c r="G213" s="41">
        <f t="shared" si="47"/>
        <v>-29.366946608243147</v>
      </c>
      <c r="H213" s="41">
        <f t="shared" si="47"/>
        <v>-26.689075023018617</v>
      </c>
      <c r="I213" s="41">
        <f t="shared" si="47"/>
        <v>-28.818181641304356</v>
      </c>
      <c r="J213" s="41">
        <f t="shared" si="47"/>
        <v>-26.689075023018617</v>
      </c>
      <c r="K213" s="41">
        <f t="shared" si="47"/>
        <v>-24.19030029085262</v>
      </c>
    </row>
    <row r="214" spans="2:11" s="4" customFormat="1" ht="12.75">
      <c r="B214" s="88" t="s">
        <v>56</v>
      </c>
      <c r="C214" s="41">
        <f>-(20*LOG(24*C197))</f>
        <v>-31.126050015345747</v>
      </c>
      <c r="D214" s="41">
        <f aca="true" t="shared" si="48" ref="D214:K214">-(20*LOG(24*D197))</f>
        <v>-33.624824747511745</v>
      </c>
      <c r="E214" s="41">
        <f t="shared" si="48"/>
        <v>-37.14664992862537</v>
      </c>
      <c r="F214" s="41">
        <f t="shared" si="48"/>
        <v>-44.50618563451726</v>
      </c>
      <c r="G214" s="41">
        <f t="shared" si="48"/>
        <v>-41.4081464348024</v>
      </c>
      <c r="H214" s="41">
        <f t="shared" si="48"/>
        <v>-38.73027484957787</v>
      </c>
      <c r="I214" s="41">
        <f t="shared" si="48"/>
        <v>-40.85938146786361</v>
      </c>
      <c r="J214" s="41">
        <f t="shared" si="48"/>
        <v>-38.73027484957787</v>
      </c>
      <c r="K214" s="41">
        <f t="shared" si="48"/>
        <v>-36.23150011741187</v>
      </c>
    </row>
    <row r="215" s="4" customFormat="1" ht="12.75"/>
    <row r="216" spans="2:6" s="4" customFormat="1" ht="12.75">
      <c r="B216" s="7"/>
      <c r="C216" s="7"/>
      <c r="D216" s="24" t="s">
        <v>105</v>
      </c>
      <c r="E216" s="7"/>
      <c r="F216" s="7"/>
    </row>
    <row r="217" spans="1:12" s="4" customFormat="1" ht="12.75">
      <c r="A217" s="51" t="s">
        <v>60</v>
      </c>
      <c r="B217" s="51"/>
      <c r="C217" s="51"/>
      <c r="D217" s="51"/>
      <c r="E217" s="51"/>
      <c r="F217" s="51"/>
      <c r="H217" s="7" t="s">
        <v>104</v>
      </c>
      <c r="I217" s="7"/>
      <c r="J217" s="7"/>
      <c r="K217" s="7"/>
      <c r="L217" s="7"/>
    </row>
    <row r="218" spans="1:12" s="4" customFormat="1" ht="12.75">
      <c r="A218" s="51" t="s">
        <v>59</v>
      </c>
      <c r="H218" s="7" t="s">
        <v>127</v>
      </c>
      <c r="I218" s="7"/>
      <c r="J218" s="7"/>
      <c r="K218" s="7"/>
      <c r="L218" s="7"/>
    </row>
    <row r="219" spans="1:12" s="4" customFormat="1" ht="12.75">
      <c r="A219" s="51" t="s">
        <v>57</v>
      </c>
      <c r="H219" s="7" t="s">
        <v>108</v>
      </c>
      <c r="I219" s="7"/>
      <c r="J219" s="7"/>
      <c r="K219" s="7"/>
      <c r="L219" s="7"/>
    </row>
    <row r="220" spans="8:12" s="4" customFormat="1" ht="12.75">
      <c r="H220" s="7" t="s">
        <v>106</v>
      </c>
      <c r="I220" s="7"/>
      <c r="J220" s="7"/>
      <c r="K220" s="7"/>
      <c r="L220" s="7"/>
    </row>
    <row r="221" spans="1:12" s="4" customFormat="1" ht="12.75">
      <c r="A221" s="51"/>
      <c r="H221" s="7" t="s">
        <v>107</v>
      </c>
      <c r="I221" s="7"/>
      <c r="J221" s="7"/>
      <c r="K221" s="7"/>
      <c r="L221" s="7"/>
    </row>
    <row r="222" spans="1:12" s="4" customFormat="1" ht="12.75">
      <c r="A222" s="51">
        <v>0.9</v>
      </c>
      <c r="H222" s="7" t="s">
        <v>109</v>
      </c>
      <c r="I222" s="7"/>
      <c r="J222" s="7"/>
      <c r="K222" s="7"/>
      <c r="L222" s="7"/>
    </row>
    <row r="223" spans="1:12" s="4" customFormat="1" ht="12.75">
      <c r="A223" s="51"/>
      <c r="H223" s="7" t="s">
        <v>110</v>
      </c>
      <c r="I223" s="7"/>
      <c r="J223" s="7"/>
      <c r="K223" s="7"/>
      <c r="L223" s="7"/>
    </row>
    <row r="224" spans="1:12" s="4" customFormat="1" ht="12.75">
      <c r="A224" s="51"/>
      <c r="H224" s="7" t="s">
        <v>111</v>
      </c>
      <c r="I224" s="7"/>
      <c r="J224" s="7"/>
      <c r="K224" s="7"/>
      <c r="L224" s="7"/>
    </row>
    <row r="225" spans="1:12" s="4" customFormat="1" ht="12.75">
      <c r="A225" s="51">
        <v>0.8</v>
      </c>
      <c r="H225" s="7" t="s">
        <v>112</v>
      </c>
      <c r="I225" s="7"/>
      <c r="J225" s="7"/>
      <c r="K225" s="7"/>
      <c r="L225" s="7"/>
    </row>
    <row r="226" spans="1:12" s="4" customFormat="1" ht="12.75">
      <c r="A226" s="51"/>
      <c r="H226" s="7" t="s">
        <v>113</v>
      </c>
      <c r="I226" s="7"/>
      <c r="J226" s="7"/>
      <c r="K226" s="7"/>
      <c r="L226" s="7"/>
    </row>
    <row r="227" spans="1:12" s="4" customFormat="1" ht="12.75">
      <c r="A227" s="51"/>
      <c r="H227" s="7" t="s">
        <v>114</v>
      </c>
      <c r="I227" s="7"/>
      <c r="J227" s="7"/>
      <c r="K227" s="7"/>
      <c r="L227" s="7"/>
    </row>
    <row r="228" spans="1:12" s="4" customFormat="1" ht="12.75">
      <c r="A228" s="51">
        <v>0.7</v>
      </c>
      <c r="H228" s="7" t="s">
        <v>115</v>
      </c>
      <c r="I228" s="7"/>
      <c r="J228" s="7"/>
      <c r="K228" s="7"/>
      <c r="L228" s="7"/>
    </row>
    <row r="229" spans="1:12" s="4" customFormat="1" ht="12.75">
      <c r="A229" s="51"/>
      <c r="H229" s="7" t="s">
        <v>116</v>
      </c>
      <c r="I229" s="7"/>
      <c r="J229" s="7"/>
      <c r="K229" s="7"/>
      <c r="L229" s="7"/>
    </row>
    <row r="230" spans="1:12" s="4" customFormat="1" ht="12.75">
      <c r="A230" s="51"/>
      <c r="H230" s="7" t="s">
        <v>117</v>
      </c>
      <c r="I230" s="7"/>
      <c r="J230" s="7"/>
      <c r="K230" s="7"/>
      <c r="L230" s="7"/>
    </row>
    <row r="231" spans="1:12" s="4" customFormat="1" ht="12.75">
      <c r="A231" s="51">
        <v>0.6</v>
      </c>
      <c r="H231" s="7" t="s">
        <v>118</v>
      </c>
      <c r="I231" s="7"/>
      <c r="J231" s="7"/>
      <c r="K231" s="7"/>
      <c r="L231" s="7"/>
    </row>
    <row r="232" spans="1:12" s="4" customFormat="1" ht="12.75">
      <c r="A232" s="51"/>
      <c r="H232" s="7" t="s">
        <v>119</v>
      </c>
      <c r="I232" s="7"/>
      <c r="J232" s="7"/>
      <c r="K232" s="7"/>
      <c r="L232" s="7"/>
    </row>
    <row r="233" spans="1:12" s="4" customFormat="1" ht="12.75">
      <c r="A233" s="51"/>
      <c r="H233" s="7" t="s">
        <v>120</v>
      </c>
      <c r="I233" s="7"/>
      <c r="J233" s="7"/>
      <c r="K233" s="7"/>
      <c r="L233" s="7"/>
    </row>
    <row r="234" spans="1:12" s="4" customFormat="1" ht="12.75">
      <c r="A234" s="51">
        <v>0.5</v>
      </c>
      <c r="H234" s="7" t="s">
        <v>123</v>
      </c>
      <c r="I234" s="7"/>
      <c r="J234" s="7"/>
      <c r="K234" s="7"/>
      <c r="L234" s="7"/>
    </row>
    <row r="235" spans="2:12" s="4" customFormat="1" ht="12.75">
      <c r="B235" s="61">
        <v>1</v>
      </c>
      <c r="C235" s="61">
        <v>3</v>
      </c>
      <c r="D235" s="61">
        <v>5</v>
      </c>
      <c r="E235" s="61">
        <v>7</v>
      </c>
      <c r="F235" s="61" t="s">
        <v>150</v>
      </c>
      <c r="G235" s="90"/>
      <c r="H235" s="7" t="s">
        <v>124</v>
      </c>
      <c r="I235" s="7"/>
      <c r="J235" s="7"/>
      <c r="K235" s="7"/>
      <c r="L235" s="7"/>
    </row>
    <row r="236" spans="8:12" s="4" customFormat="1" ht="12.75">
      <c r="H236" s="7" t="s">
        <v>125</v>
      </c>
      <c r="I236" s="7"/>
      <c r="J236" s="7"/>
      <c r="K236" s="7"/>
      <c r="L236" s="7"/>
    </row>
    <row r="237" spans="2:12" s="4" customFormat="1" ht="12.75">
      <c r="B237" s="7" t="s">
        <v>128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2:12" s="4" customFormat="1" ht="12.75">
      <c r="B238" s="7" t="s">
        <v>129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2:12" s="4" customFormat="1" ht="12.75">
      <c r="B239" s="7" t="s">
        <v>130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2:12" s="4" customFormat="1" ht="12.75">
      <c r="B240" s="7" t="s">
        <v>126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2:12" s="4" customFormat="1" ht="12.75">
      <c r="B241" s="7" t="s">
        <v>174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2:12" s="4" customFormat="1" ht="12.75">
      <c r="B242" s="7" t="s">
        <v>171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pans="1:12" s="4" customFormat="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s="4" customFormat="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s="4" customFormat="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s="4" customFormat="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s="4" customFormat="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s="4" customFormat="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s="4" customFormat="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s="4" customFormat="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s="4" customFormat="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s="4" customFormat="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s="4" customFormat="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s="4" customFormat="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s="4" customFormat="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s="4" customFormat="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s="4" customFormat="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s="4" customFormat="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s="4" customFormat="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s="4" customFormat="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s="4" customFormat="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s="4" customFormat="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s="4" customFormat="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s="4" customFormat="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s="4" customFormat="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s="4" customFormat="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s="4" customFormat="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s="4" customFormat="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s="4" customFormat="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s="4" customFormat="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s="4" customFormat="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s="4" customFormat="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s="4" customFormat="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s="4" customFormat="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s="4" customFormat="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s="4" customFormat="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s="4" customFormat="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s="4" customFormat="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s="4" customFormat="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s="4" customFormat="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s="4" customFormat="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s="4" customFormat="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s="4" customFormat="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s="4" customFormat="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s="4" customFormat="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s="4" customFormat="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s="4" customFormat="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s="4" customFormat="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s="4" customFormat="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s="4" customFormat="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s="4" customFormat="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s="4" customFormat="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s="4" customFormat="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s="4" customFormat="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s="4" customFormat="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s="4" customFormat="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s="4" customFormat="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s="4" customFormat="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s="4" customFormat="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s="4" customFormat="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s="4" customFormat="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s="4" customFormat="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s="4" customFormat="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</sheetData>
  <sheetProtection password="E6EF" sheet="1" objects="1" scenarios="1" selectLockedCells="1"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rowBreaks count="3" manualBreakCount="3">
    <brk id="60" max="255" man="1"/>
    <brk id="120" max="255" man="1"/>
    <brk id="181" max="255" man="1"/>
  </rowBreaks>
  <ignoredErrors>
    <ignoredError sqref="J16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2009-04-27T04:47:19Z</cp:lastPrinted>
  <dcterms:created xsi:type="dcterms:W3CDTF">2009-04-07T07:40:34Z</dcterms:created>
  <dcterms:modified xsi:type="dcterms:W3CDTF">2009-04-27T06:25:10Z</dcterms:modified>
  <cp:category/>
  <cp:version/>
  <cp:contentType/>
  <cp:contentStatus/>
</cp:coreProperties>
</file>